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 firstSheet="2" activeTab="3"/>
  </bookViews>
  <sheets>
    <sheet name="MARZO 2017" sheetId="49" state="hidden" r:id="rId1"/>
    <sheet name="JULIO" sheetId="52" state="hidden" r:id="rId2"/>
    <sheet name="septiembre" sheetId="50" r:id="rId3"/>
    <sheet name="Diciembre" sheetId="53" r:id="rId4"/>
    <sheet name="Depreciación ORIGINAL " sheetId="51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3" hidden="1">Diciembre!$A$12:$J$12</definedName>
    <definedName name="_xlnm._FilterDatabase" localSheetId="1" hidden="1">JULIO!$A$10:$J$10</definedName>
    <definedName name="_xlnm._FilterDatabase" localSheetId="0" hidden="1">'MARZO 2017'!$A$18:$J$18</definedName>
    <definedName name="_xlnm._FilterDatabase" localSheetId="2" hidden="1">septiembre!$A$18:$J$18</definedName>
    <definedName name="_xlnm.Print_Area" localSheetId="3">Diciembre!$1:$66</definedName>
    <definedName name="_xlnm.Print_Area" localSheetId="1">JULIO!$1:$108</definedName>
    <definedName name="_xlnm.Print_Area" localSheetId="0">'MARZO 2017'!$1:$105</definedName>
    <definedName name="_xlnm.Print_Area" localSheetId="2">septiembre!$1:$142</definedName>
  </definedNames>
  <calcPr calcId="162913" fullCalcOnLoad="1"/>
</workbook>
</file>

<file path=xl/calcChain.xml><?xml version="1.0" encoding="utf-8"?>
<calcChain xmlns="http://schemas.openxmlformats.org/spreadsheetml/2006/main">
  <c r="K55" i="53" l="1"/>
  <c r="L55" i="53"/>
  <c r="M55" i="53"/>
  <c r="N55" i="53"/>
  <c r="P55" i="53"/>
  <c r="R55" i="53"/>
  <c r="I55" i="53"/>
  <c r="J55" i="53"/>
  <c r="K54" i="53"/>
  <c r="L54" i="53"/>
  <c r="M54" i="53"/>
  <c r="N54" i="53"/>
  <c r="P54" i="53"/>
  <c r="R54" i="53"/>
  <c r="I54" i="53"/>
  <c r="J54" i="53"/>
  <c r="K53" i="53"/>
  <c r="L53" i="53"/>
  <c r="M53" i="53"/>
  <c r="N53" i="53"/>
  <c r="P53" i="53"/>
  <c r="R53" i="53"/>
  <c r="I53" i="53"/>
  <c r="J53" i="53"/>
  <c r="K52" i="53"/>
  <c r="L52" i="53"/>
  <c r="M52" i="53"/>
  <c r="N52" i="53"/>
  <c r="P52" i="53"/>
  <c r="R52" i="53"/>
  <c r="I52" i="53"/>
  <c r="J52" i="53"/>
  <c r="K51" i="53"/>
  <c r="L51" i="53"/>
  <c r="M51" i="53"/>
  <c r="N51" i="53"/>
  <c r="P51" i="53"/>
  <c r="R51" i="53"/>
  <c r="I51" i="53"/>
  <c r="J51" i="53"/>
  <c r="K50" i="53"/>
  <c r="L50" i="53"/>
  <c r="M50" i="53"/>
  <c r="N50" i="53"/>
  <c r="P50" i="53"/>
  <c r="R50" i="53"/>
  <c r="I50" i="53"/>
  <c r="J50" i="53"/>
  <c r="K49" i="53"/>
  <c r="L49" i="53"/>
  <c r="M49" i="53"/>
  <c r="N49" i="53"/>
  <c r="P49" i="53"/>
  <c r="R49" i="53"/>
  <c r="I49" i="53"/>
  <c r="J49" i="53"/>
  <c r="K48" i="53"/>
  <c r="L48" i="53"/>
  <c r="M48" i="53"/>
  <c r="N48" i="53"/>
  <c r="P48" i="53"/>
  <c r="R48" i="53"/>
  <c r="I48" i="53"/>
  <c r="J48" i="53"/>
  <c r="K47" i="53"/>
  <c r="L47" i="53"/>
  <c r="M47" i="53"/>
  <c r="N47" i="53"/>
  <c r="P47" i="53"/>
  <c r="R47" i="53"/>
  <c r="I47" i="53"/>
  <c r="J47" i="53"/>
  <c r="K46" i="53"/>
  <c r="L46" i="53"/>
  <c r="M46" i="53"/>
  <c r="N46" i="53"/>
  <c r="P46" i="53"/>
  <c r="R46" i="53"/>
  <c r="I46" i="53"/>
  <c r="J46" i="53"/>
  <c r="K45" i="53"/>
  <c r="L45" i="53"/>
  <c r="M45" i="53"/>
  <c r="N45" i="53"/>
  <c r="P45" i="53"/>
  <c r="R45" i="53"/>
  <c r="I45" i="53"/>
  <c r="J45" i="53"/>
  <c r="K44" i="53"/>
  <c r="L44" i="53"/>
  <c r="M44" i="53"/>
  <c r="N44" i="53"/>
  <c r="P44" i="53"/>
  <c r="R44" i="53"/>
  <c r="I44" i="53"/>
  <c r="J44" i="53"/>
  <c r="K43" i="53"/>
  <c r="L43" i="53"/>
  <c r="M43" i="53"/>
  <c r="N43" i="53"/>
  <c r="P43" i="53"/>
  <c r="R43" i="53"/>
  <c r="I43" i="53"/>
  <c r="J43" i="53"/>
  <c r="K42" i="53"/>
  <c r="L42" i="53"/>
  <c r="M42" i="53"/>
  <c r="N42" i="53"/>
  <c r="P42" i="53"/>
  <c r="R42" i="53"/>
  <c r="I42" i="53"/>
  <c r="J42" i="53"/>
  <c r="K41" i="53"/>
  <c r="L41" i="53"/>
  <c r="M41" i="53"/>
  <c r="N41" i="53"/>
  <c r="P41" i="53"/>
  <c r="R41" i="53"/>
  <c r="I41" i="53"/>
  <c r="J41" i="53"/>
  <c r="K40" i="53"/>
  <c r="L40" i="53"/>
  <c r="M40" i="53"/>
  <c r="N40" i="53"/>
  <c r="P40" i="53"/>
  <c r="R40" i="53"/>
  <c r="I40" i="53"/>
  <c r="J40" i="53"/>
  <c r="K39" i="53"/>
  <c r="L39" i="53"/>
  <c r="M39" i="53"/>
  <c r="N39" i="53"/>
  <c r="P39" i="53"/>
  <c r="R39" i="53"/>
  <c r="I39" i="53"/>
  <c r="J39" i="53"/>
  <c r="K38" i="53"/>
  <c r="L38" i="53"/>
  <c r="M38" i="53"/>
  <c r="N38" i="53"/>
  <c r="P38" i="53"/>
  <c r="R38" i="53"/>
  <c r="I38" i="53"/>
  <c r="J38" i="53"/>
  <c r="K37" i="53"/>
  <c r="L37" i="53"/>
  <c r="M37" i="53"/>
  <c r="N37" i="53"/>
  <c r="P37" i="53"/>
  <c r="R37" i="53"/>
  <c r="I37" i="53"/>
  <c r="J37" i="53"/>
  <c r="P36" i="53"/>
  <c r="R36" i="53"/>
  <c r="K36" i="53"/>
  <c r="L36" i="53"/>
  <c r="M36" i="53"/>
  <c r="I36" i="53"/>
  <c r="J36" i="53"/>
  <c r="O35" i="53"/>
  <c r="K35" i="53"/>
  <c r="L35" i="53"/>
  <c r="M35" i="53"/>
  <c r="N35" i="53"/>
  <c r="P35" i="53"/>
  <c r="R35" i="53"/>
  <c r="I35" i="53"/>
  <c r="J35" i="53"/>
  <c r="K34" i="53"/>
  <c r="L34" i="53"/>
  <c r="M34" i="53"/>
  <c r="N34" i="53"/>
  <c r="P34" i="53"/>
  <c r="K33" i="53"/>
  <c r="L33" i="53"/>
  <c r="M33" i="53"/>
  <c r="N33" i="53"/>
  <c r="P33" i="53"/>
  <c r="K32" i="53"/>
  <c r="L32" i="53"/>
  <c r="M32" i="53"/>
  <c r="N32" i="53"/>
  <c r="P32" i="53"/>
  <c r="K31" i="53"/>
  <c r="L31" i="53"/>
  <c r="M31" i="53"/>
  <c r="N31" i="53"/>
  <c r="P31" i="53"/>
  <c r="K30" i="53"/>
  <c r="L30" i="53"/>
  <c r="M30" i="53"/>
  <c r="N30" i="53"/>
  <c r="P30" i="53"/>
  <c r="K29" i="53"/>
  <c r="L29" i="53"/>
  <c r="M29" i="53"/>
  <c r="U28" i="53"/>
  <c r="K28" i="53"/>
  <c r="L28" i="53"/>
  <c r="M28" i="53"/>
  <c r="N28" i="53"/>
  <c r="P28" i="53"/>
  <c r="U27" i="53"/>
  <c r="K27" i="53"/>
  <c r="L27" i="53"/>
  <c r="M27" i="53"/>
  <c r="N27" i="53"/>
  <c r="P27" i="53"/>
  <c r="O19" i="53"/>
  <c r="K19" i="53"/>
  <c r="L19" i="53"/>
  <c r="M19" i="53"/>
  <c r="N19" i="53"/>
  <c r="P19" i="53"/>
  <c r="R19" i="53"/>
  <c r="I19" i="53"/>
  <c r="J19" i="53"/>
  <c r="J18" i="53"/>
  <c r="J17" i="53"/>
  <c r="J16" i="53"/>
  <c r="J15" i="53"/>
  <c r="J14" i="53"/>
  <c r="J13" i="53"/>
  <c r="J12" i="53"/>
  <c r="K77" i="52"/>
  <c r="L77" i="52"/>
  <c r="M77" i="52"/>
  <c r="N77" i="52"/>
  <c r="P77" i="52"/>
  <c r="R77" i="52"/>
  <c r="I77" i="52"/>
  <c r="J77" i="52"/>
  <c r="K76" i="52"/>
  <c r="L76" i="52"/>
  <c r="M76" i="52"/>
  <c r="N76" i="52"/>
  <c r="P76" i="52"/>
  <c r="R76" i="52"/>
  <c r="I76" i="52"/>
  <c r="J76" i="52"/>
  <c r="K75" i="52"/>
  <c r="L75" i="52"/>
  <c r="M75" i="52"/>
  <c r="N75" i="52"/>
  <c r="P75" i="52"/>
  <c r="R75" i="52"/>
  <c r="I75" i="52"/>
  <c r="J75" i="52"/>
  <c r="K74" i="52"/>
  <c r="L74" i="52"/>
  <c r="M74" i="52"/>
  <c r="N74" i="52"/>
  <c r="P74" i="52"/>
  <c r="R74" i="52"/>
  <c r="I74" i="52"/>
  <c r="J74" i="52"/>
  <c r="K73" i="52"/>
  <c r="L73" i="52"/>
  <c r="M73" i="52"/>
  <c r="N73" i="52"/>
  <c r="P73" i="52"/>
  <c r="R73" i="52"/>
  <c r="I73" i="52"/>
  <c r="J73" i="52"/>
  <c r="K72" i="52"/>
  <c r="L72" i="52"/>
  <c r="M72" i="52"/>
  <c r="N72" i="52"/>
  <c r="P72" i="52"/>
  <c r="R72" i="52"/>
  <c r="I72" i="52"/>
  <c r="J72" i="52"/>
  <c r="K71" i="52"/>
  <c r="L71" i="52"/>
  <c r="M71" i="52"/>
  <c r="N71" i="52"/>
  <c r="P71" i="52"/>
  <c r="R71" i="52"/>
  <c r="I71" i="52"/>
  <c r="J71" i="52"/>
  <c r="K70" i="52"/>
  <c r="L70" i="52"/>
  <c r="M70" i="52"/>
  <c r="N70" i="52"/>
  <c r="P70" i="52"/>
  <c r="R70" i="52"/>
  <c r="I70" i="52"/>
  <c r="J70" i="52"/>
  <c r="K69" i="52"/>
  <c r="L69" i="52"/>
  <c r="M69" i="52"/>
  <c r="N69" i="52"/>
  <c r="P69" i="52"/>
  <c r="R69" i="52"/>
  <c r="I69" i="52"/>
  <c r="J69" i="52"/>
  <c r="K68" i="52"/>
  <c r="L68" i="52"/>
  <c r="M68" i="52"/>
  <c r="N68" i="52"/>
  <c r="P68" i="52"/>
  <c r="R68" i="52"/>
  <c r="I68" i="52"/>
  <c r="J68" i="52"/>
  <c r="K67" i="52"/>
  <c r="L67" i="52"/>
  <c r="M67" i="52"/>
  <c r="N67" i="52"/>
  <c r="P67" i="52"/>
  <c r="R67" i="52"/>
  <c r="I67" i="52"/>
  <c r="J67" i="52"/>
  <c r="K66" i="52"/>
  <c r="L66" i="52"/>
  <c r="M66" i="52"/>
  <c r="N66" i="52"/>
  <c r="P66" i="52"/>
  <c r="R66" i="52"/>
  <c r="I66" i="52"/>
  <c r="J66" i="52"/>
  <c r="K65" i="52"/>
  <c r="L65" i="52"/>
  <c r="M65" i="52"/>
  <c r="N65" i="52"/>
  <c r="P65" i="52"/>
  <c r="R65" i="52"/>
  <c r="I44" i="52"/>
  <c r="J44" i="52"/>
  <c r="I43" i="52"/>
  <c r="J43" i="52"/>
  <c r="I42" i="52"/>
  <c r="J42" i="52"/>
  <c r="I41" i="52"/>
  <c r="J41" i="52"/>
  <c r="I40" i="52"/>
  <c r="J40" i="52"/>
  <c r="I39" i="52"/>
  <c r="J39" i="52"/>
  <c r="I38" i="52"/>
  <c r="J38" i="52"/>
  <c r="I37" i="52"/>
  <c r="J37" i="52"/>
  <c r="I36" i="52"/>
  <c r="J36" i="52"/>
  <c r="I35" i="52"/>
  <c r="J35" i="52"/>
  <c r="K34" i="52"/>
  <c r="L34" i="52"/>
  <c r="M34" i="52"/>
  <c r="N34" i="52"/>
  <c r="P34" i="52"/>
  <c r="R34" i="52"/>
  <c r="J34" i="52"/>
  <c r="K33" i="52"/>
  <c r="L33" i="52"/>
  <c r="M33" i="52"/>
  <c r="N33" i="52"/>
  <c r="P33" i="52"/>
  <c r="R33" i="52"/>
  <c r="J33" i="52"/>
  <c r="K32" i="52"/>
  <c r="L32" i="52"/>
  <c r="M32" i="52"/>
  <c r="N32" i="52"/>
  <c r="P32" i="52"/>
  <c r="R32" i="52"/>
  <c r="J32" i="52"/>
  <c r="K31" i="52"/>
  <c r="L31" i="52"/>
  <c r="M31" i="52"/>
  <c r="N31" i="52"/>
  <c r="P31" i="52"/>
  <c r="R31" i="52"/>
  <c r="J31" i="52"/>
  <c r="K30" i="52"/>
  <c r="L30" i="52"/>
  <c r="M30" i="52"/>
  <c r="N30" i="52"/>
  <c r="P30" i="52"/>
  <c r="R30" i="52"/>
  <c r="J30" i="52"/>
  <c r="K29" i="52"/>
  <c r="L29" i="52"/>
  <c r="M29" i="52"/>
  <c r="J29" i="52"/>
  <c r="U28" i="52"/>
  <c r="K28" i="52"/>
  <c r="L28" i="52"/>
  <c r="M28" i="52"/>
  <c r="N28" i="52"/>
  <c r="P28" i="52"/>
  <c r="J28" i="52"/>
  <c r="U27" i="52"/>
  <c r="K27" i="52"/>
  <c r="L27" i="52"/>
  <c r="M27" i="52"/>
  <c r="N27" i="52"/>
  <c r="P27" i="52"/>
  <c r="J27" i="52"/>
  <c r="O19" i="52"/>
  <c r="K19" i="52"/>
  <c r="L19" i="52"/>
  <c r="M19" i="52"/>
  <c r="N19" i="52"/>
  <c r="I19" i="52"/>
  <c r="J19" i="52"/>
  <c r="O18" i="52"/>
  <c r="K18" i="52"/>
  <c r="L18" i="52"/>
  <c r="M18" i="52"/>
  <c r="N18" i="52"/>
  <c r="I18" i="52"/>
  <c r="J18" i="52"/>
  <c r="O17" i="52"/>
  <c r="K17" i="52"/>
  <c r="L17" i="52"/>
  <c r="M17" i="52"/>
  <c r="N17" i="52"/>
  <c r="I17" i="52"/>
  <c r="J17" i="52"/>
  <c r="J16" i="52"/>
  <c r="J15" i="52"/>
  <c r="J14" i="52"/>
  <c r="J13" i="52"/>
  <c r="J12" i="52"/>
  <c r="J11" i="52"/>
  <c r="J10" i="52"/>
  <c r="K62" i="50"/>
  <c r="L62" i="50"/>
  <c r="M62" i="50"/>
  <c r="N62" i="50"/>
  <c r="P62" i="50"/>
  <c r="R62" i="50"/>
  <c r="K58" i="50"/>
  <c r="L58" i="50"/>
  <c r="M58" i="50"/>
  <c r="N58" i="50"/>
  <c r="P58" i="50"/>
  <c r="R58" i="50"/>
  <c r="K54" i="50"/>
  <c r="L54" i="50"/>
  <c r="M54" i="50"/>
  <c r="N54" i="50"/>
  <c r="P54" i="50"/>
  <c r="R54" i="50"/>
  <c r="K51" i="50"/>
  <c r="L51" i="50"/>
  <c r="M51" i="50"/>
  <c r="N51" i="50"/>
  <c r="P51" i="50"/>
  <c r="R51" i="50"/>
  <c r="K47" i="50"/>
  <c r="L47" i="50"/>
  <c r="M47" i="50"/>
  <c r="N47" i="50"/>
  <c r="P47" i="50"/>
  <c r="R47" i="50"/>
  <c r="H7" i="51"/>
  <c r="I7" i="51"/>
  <c r="J7" i="51"/>
  <c r="K7" i="51"/>
  <c r="N7" i="51"/>
  <c r="L7" i="51"/>
  <c r="M7" i="51"/>
  <c r="Q7" i="51"/>
  <c r="R7" i="51"/>
  <c r="S7" i="51"/>
  <c r="T7" i="51"/>
  <c r="U7" i="51"/>
  <c r="H8" i="51"/>
  <c r="I8" i="51"/>
  <c r="J8" i="51"/>
  <c r="K8" i="51"/>
  <c r="N8" i="51"/>
  <c r="L8" i="51"/>
  <c r="M8" i="51"/>
  <c r="Q8" i="51"/>
  <c r="R8" i="51"/>
  <c r="S8" i="51"/>
  <c r="T8" i="51"/>
  <c r="T61" i="51"/>
  <c r="U8" i="51"/>
  <c r="H9" i="51"/>
  <c r="I9" i="51"/>
  <c r="J9" i="51"/>
  <c r="K9" i="51"/>
  <c r="N9" i="51"/>
  <c r="L9" i="51"/>
  <c r="M9" i="51"/>
  <c r="Q9" i="51"/>
  <c r="R9" i="51"/>
  <c r="S9" i="51"/>
  <c r="T9" i="51"/>
  <c r="U9" i="51"/>
  <c r="L13" i="51"/>
  <c r="M13" i="51"/>
  <c r="H13" i="51"/>
  <c r="I13" i="51"/>
  <c r="J13" i="51"/>
  <c r="K13" i="51"/>
  <c r="N13" i="51"/>
  <c r="Q13" i="51"/>
  <c r="R13" i="51"/>
  <c r="S13" i="51"/>
  <c r="U13" i="51"/>
  <c r="L14" i="51"/>
  <c r="M14" i="51"/>
  <c r="H14" i="51"/>
  <c r="I14" i="51"/>
  <c r="J14" i="51"/>
  <c r="K14" i="51"/>
  <c r="N14" i="51"/>
  <c r="Q14" i="51"/>
  <c r="R14" i="51"/>
  <c r="S14" i="51"/>
  <c r="U14" i="51"/>
  <c r="L15" i="51"/>
  <c r="M15" i="51"/>
  <c r="H15" i="51"/>
  <c r="I15" i="51"/>
  <c r="J15" i="51"/>
  <c r="K15" i="51"/>
  <c r="N15" i="51"/>
  <c r="O15" i="51"/>
  <c r="Q15" i="51"/>
  <c r="R15" i="51"/>
  <c r="S15" i="51"/>
  <c r="U15" i="51"/>
  <c r="L16" i="51"/>
  <c r="M16" i="51"/>
  <c r="H16" i="51"/>
  <c r="I16" i="51"/>
  <c r="J16" i="51"/>
  <c r="K16" i="51"/>
  <c r="N16" i="51"/>
  <c r="Q16" i="51"/>
  <c r="R16" i="51"/>
  <c r="S16" i="51"/>
  <c r="U16" i="51"/>
  <c r="L17" i="51"/>
  <c r="M17" i="51"/>
  <c r="H17" i="51"/>
  <c r="I17" i="51"/>
  <c r="J17" i="51"/>
  <c r="K17" i="51"/>
  <c r="N17" i="51"/>
  <c r="Q17" i="51"/>
  <c r="R17" i="51"/>
  <c r="S17" i="51"/>
  <c r="U17" i="51"/>
  <c r="L18" i="51"/>
  <c r="M18" i="51"/>
  <c r="H18" i="51"/>
  <c r="I18" i="51"/>
  <c r="J18" i="51"/>
  <c r="K18" i="51"/>
  <c r="N18" i="51"/>
  <c r="Q18" i="51"/>
  <c r="R18" i="51"/>
  <c r="S18" i="51"/>
  <c r="U18" i="51"/>
  <c r="L19" i="51"/>
  <c r="M19" i="51"/>
  <c r="H19" i="51"/>
  <c r="I19" i="51"/>
  <c r="J19" i="51"/>
  <c r="K19" i="51"/>
  <c r="N19" i="51"/>
  <c r="Q19" i="51"/>
  <c r="R19" i="51"/>
  <c r="S19" i="51"/>
  <c r="U19" i="51"/>
  <c r="L20" i="51"/>
  <c r="M20" i="51"/>
  <c r="H20" i="51"/>
  <c r="I20" i="51"/>
  <c r="J20" i="51"/>
  <c r="K20" i="51"/>
  <c r="N20" i="51"/>
  <c r="Q20" i="51"/>
  <c r="R20" i="51"/>
  <c r="S20" i="51"/>
  <c r="U20" i="51"/>
  <c r="L21" i="51"/>
  <c r="M21" i="51"/>
  <c r="H21" i="51"/>
  <c r="I21" i="51"/>
  <c r="J21" i="51"/>
  <c r="K21" i="51"/>
  <c r="N21" i="51"/>
  <c r="Q21" i="51"/>
  <c r="R21" i="51"/>
  <c r="S21" i="51"/>
  <c r="U21" i="51"/>
  <c r="L22" i="51"/>
  <c r="M22" i="51"/>
  <c r="H22" i="51"/>
  <c r="I22" i="51"/>
  <c r="J22" i="51"/>
  <c r="K22" i="51"/>
  <c r="N22" i="51"/>
  <c r="O22" i="51"/>
  <c r="V22" i="51"/>
  <c r="X22" i="51"/>
  <c r="Q22" i="51"/>
  <c r="R22" i="51"/>
  <c r="S22" i="51"/>
  <c r="U22" i="51"/>
  <c r="L23" i="51"/>
  <c r="M23" i="51"/>
  <c r="H23" i="51"/>
  <c r="I23" i="51"/>
  <c r="J23" i="51"/>
  <c r="K23" i="51"/>
  <c r="N23" i="51"/>
  <c r="Q23" i="51"/>
  <c r="R23" i="51"/>
  <c r="S23" i="51"/>
  <c r="U23" i="51"/>
  <c r="L24" i="51"/>
  <c r="M24" i="51"/>
  <c r="H24" i="51"/>
  <c r="I24" i="51"/>
  <c r="J24" i="51"/>
  <c r="K24" i="51"/>
  <c r="N24" i="51"/>
  <c r="Y24" i="51"/>
  <c r="Q24" i="51"/>
  <c r="R24" i="51"/>
  <c r="S24" i="51"/>
  <c r="U24" i="51"/>
  <c r="L25" i="51"/>
  <c r="M25" i="51"/>
  <c r="H25" i="51"/>
  <c r="I25" i="51"/>
  <c r="J25" i="51"/>
  <c r="K25" i="51"/>
  <c r="N25" i="51"/>
  <c r="O25" i="51"/>
  <c r="V25" i="51"/>
  <c r="X25" i="51"/>
  <c r="Q25" i="51"/>
  <c r="R25" i="51"/>
  <c r="S25" i="51"/>
  <c r="U25" i="51"/>
  <c r="L26" i="51"/>
  <c r="M26" i="51"/>
  <c r="H26" i="51"/>
  <c r="I26" i="51"/>
  <c r="J26" i="51"/>
  <c r="K26" i="51"/>
  <c r="N26" i="51"/>
  <c r="Q26" i="51"/>
  <c r="R26" i="51"/>
  <c r="S26" i="51"/>
  <c r="U26" i="51"/>
  <c r="L27" i="51"/>
  <c r="M27" i="51"/>
  <c r="H27" i="51"/>
  <c r="I27" i="51"/>
  <c r="J27" i="51"/>
  <c r="K27" i="51"/>
  <c r="N27" i="51"/>
  <c r="Y27" i="51"/>
  <c r="Q27" i="51"/>
  <c r="R27" i="51"/>
  <c r="S27" i="51"/>
  <c r="U27" i="51"/>
  <c r="L28" i="51"/>
  <c r="M28" i="51"/>
  <c r="H28" i="51"/>
  <c r="I28" i="51"/>
  <c r="J28" i="51"/>
  <c r="K28" i="51"/>
  <c r="N28" i="51"/>
  <c r="Q28" i="51"/>
  <c r="R28" i="51"/>
  <c r="S28" i="51"/>
  <c r="U28" i="51"/>
  <c r="L29" i="51"/>
  <c r="M29" i="51"/>
  <c r="H29" i="51"/>
  <c r="I29" i="51"/>
  <c r="J29" i="51"/>
  <c r="K29" i="51"/>
  <c r="N29" i="51"/>
  <c r="Q29" i="51"/>
  <c r="R29" i="51"/>
  <c r="S29" i="51"/>
  <c r="U29" i="51"/>
  <c r="L30" i="51"/>
  <c r="M30" i="51"/>
  <c r="H30" i="51"/>
  <c r="I30" i="51"/>
  <c r="J30" i="51"/>
  <c r="K30" i="51"/>
  <c r="N30" i="51"/>
  <c r="Y30" i="51"/>
  <c r="Q30" i="51"/>
  <c r="R30" i="51"/>
  <c r="S30" i="51"/>
  <c r="U30" i="51"/>
  <c r="L31" i="51"/>
  <c r="M31" i="51"/>
  <c r="H31" i="51"/>
  <c r="I31" i="51"/>
  <c r="J31" i="51"/>
  <c r="K31" i="51"/>
  <c r="N31" i="51"/>
  <c r="Q31" i="51"/>
  <c r="R31" i="51"/>
  <c r="S31" i="51"/>
  <c r="U31" i="51"/>
  <c r="L32" i="51"/>
  <c r="M32" i="51"/>
  <c r="H32" i="51"/>
  <c r="I32" i="51"/>
  <c r="J32" i="51"/>
  <c r="K32" i="51"/>
  <c r="N32" i="51"/>
  <c r="Q32" i="51"/>
  <c r="R32" i="51"/>
  <c r="S32" i="51"/>
  <c r="U32" i="51"/>
  <c r="L33" i="51"/>
  <c r="M33" i="51"/>
  <c r="H33" i="51"/>
  <c r="I33" i="51"/>
  <c r="J33" i="51"/>
  <c r="K33" i="51"/>
  <c r="N33" i="51"/>
  <c r="Q33" i="51"/>
  <c r="R33" i="51"/>
  <c r="S33" i="51"/>
  <c r="U33" i="51"/>
  <c r="L12" i="51"/>
  <c r="M12" i="51"/>
  <c r="H12" i="51"/>
  <c r="I12" i="51"/>
  <c r="J12" i="51"/>
  <c r="K12" i="51"/>
  <c r="N12" i="51"/>
  <c r="Q12" i="51"/>
  <c r="R12" i="51"/>
  <c r="S12" i="51"/>
  <c r="U12" i="51"/>
  <c r="U61" i="51"/>
  <c r="T12" i="51"/>
  <c r="T13" i="51"/>
  <c r="T14" i="51"/>
  <c r="T15" i="51"/>
  <c r="T16" i="51"/>
  <c r="T17" i="51"/>
  <c r="T18" i="51"/>
  <c r="T19" i="51"/>
  <c r="T20" i="51"/>
  <c r="T21" i="51"/>
  <c r="T22" i="51"/>
  <c r="T23" i="51"/>
  <c r="T24" i="51"/>
  <c r="T25" i="51"/>
  <c r="T26" i="51"/>
  <c r="T27" i="51"/>
  <c r="T28" i="51"/>
  <c r="T29" i="51"/>
  <c r="T30" i="51"/>
  <c r="T31" i="51"/>
  <c r="T32" i="51"/>
  <c r="T33" i="51"/>
  <c r="S61" i="51"/>
  <c r="R61" i="51"/>
  <c r="Q61" i="51"/>
  <c r="P61" i="51"/>
  <c r="K26" i="50"/>
  <c r="L26" i="50"/>
  <c r="M26" i="50"/>
  <c r="N26" i="50"/>
  <c r="P26" i="50"/>
  <c r="R26" i="50"/>
  <c r="K39" i="50"/>
  <c r="L39" i="50"/>
  <c r="M39" i="50"/>
  <c r="U38" i="50"/>
  <c r="K38" i="50"/>
  <c r="L38" i="50"/>
  <c r="M38" i="50"/>
  <c r="N38" i="50"/>
  <c r="P38" i="50"/>
  <c r="K37" i="50"/>
  <c r="L37" i="50"/>
  <c r="M37" i="50"/>
  <c r="N37" i="50"/>
  <c r="P37" i="50"/>
  <c r="U37" i="50"/>
  <c r="O26" i="50"/>
  <c r="P46" i="50"/>
  <c r="R46" i="50"/>
  <c r="K65" i="50"/>
  <c r="L65" i="50"/>
  <c r="M65" i="50"/>
  <c r="N65" i="50"/>
  <c r="P65" i="50"/>
  <c r="R65" i="50"/>
  <c r="K64" i="50"/>
  <c r="L64" i="50"/>
  <c r="M64" i="50"/>
  <c r="N64" i="50"/>
  <c r="P64" i="50"/>
  <c r="R64" i="50"/>
  <c r="K63" i="50"/>
  <c r="L63" i="50"/>
  <c r="M63" i="50"/>
  <c r="N63" i="50"/>
  <c r="P63" i="50"/>
  <c r="R63" i="50"/>
  <c r="K61" i="50"/>
  <c r="L61" i="50"/>
  <c r="M61" i="50"/>
  <c r="N61" i="50"/>
  <c r="P61" i="50"/>
  <c r="R61" i="50"/>
  <c r="K60" i="50"/>
  <c r="L60" i="50"/>
  <c r="M60" i="50"/>
  <c r="N60" i="50"/>
  <c r="P60" i="50"/>
  <c r="R60" i="50"/>
  <c r="K59" i="50"/>
  <c r="L59" i="50"/>
  <c r="M59" i="50"/>
  <c r="N59" i="50"/>
  <c r="P59" i="50"/>
  <c r="R59" i="50"/>
  <c r="K57" i="50"/>
  <c r="L57" i="50"/>
  <c r="M57" i="50"/>
  <c r="N57" i="50"/>
  <c r="P57" i="50"/>
  <c r="R57" i="50"/>
  <c r="K56" i="50"/>
  <c r="L56" i="50"/>
  <c r="M56" i="50"/>
  <c r="N56" i="50"/>
  <c r="P56" i="50"/>
  <c r="R56" i="50"/>
  <c r="K55" i="50"/>
  <c r="L55" i="50"/>
  <c r="M55" i="50"/>
  <c r="N55" i="50"/>
  <c r="P55" i="50"/>
  <c r="R55" i="50"/>
  <c r="K53" i="50"/>
  <c r="L53" i="50"/>
  <c r="M53" i="50"/>
  <c r="N53" i="50"/>
  <c r="P53" i="50"/>
  <c r="R53" i="50"/>
  <c r="K52" i="50"/>
  <c r="L52" i="50"/>
  <c r="M52" i="50"/>
  <c r="N52" i="50"/>
  <c r="P52" i="50"/>
  <c r="R52" i="50"/>
  <c r="K50" i="50"/>
  <c r="L50" i="50"/>
  <c r="M50" i="50"/>
  <c r="N50" i="50"/>
  <c r="P50" i="50"/>
  <c r="R50" i="50"/>
  <c r="K49" i="50"/>
  <c r="L49" i="50"/>
  <c r="M49" i="50"/>
  <c r="N49" i="50"/>
  <c r="P49" i="50"/>
  <c r="R49" i="50"/>
  <c r="K48" i="50"/>
  <c r="L48" i="50"/>
  <c r="M48" i="50"/>
  <c r="N48" i="50"/>
  <c r="P48" i="50"/>
  <c r="R48" i="50"/>
  <c r="K45" i="50"/>
  <c r="L45" i="50"/>
  <c r="M45" i="50"/>
  <c r="N45" i="50"/>
  <c r="P45" i="50"/>
  <c r="R45" i="50"/>
  <c r="O45" i="50"/>
  <c r="K25" i="50"/>
  <c r="L25" i="50"/>
  <c r="M25" i="50"/>
  <c r="N25" i="50"/>
  <c r="P25" i="50"/>
  <c r="R25" i="50"/>
  <c r="O25" i="50"/>
  <c r="K27" i="50"/>
  <c r="L27" i="50"/>
  <c r="M27" i="50"/>
  <c r="N27" i="50"/>
  <c r="P27" i="50"/>
  <c r="R27" i="50"/>
  <c r="O27" i="50"/>
  <c r="K40" i="50"/>
  <c r="L40" i="50"/>
  <c r="M40" i="50"/>
  <c r="N40" i="50"/>
  <c r="P40" i="50"/>
  <c r="K41" i="50"/>
  <c r="L41" i="50"/>
  <c r="M41" i="50"/>
  <c r="N41" i="50"/>
  <c r="K42" i="50"/>
  <c r="L42" i="50"/>
  <c r="M42" i="50"/>
  <c r="N42" i="50"/>
  <c r="K46" i="50"/>
  <c r="L46" i="50"/>
  <c r="M46" i="50"/>
  <c r="K44" i="50"/>
  <c r="L44" i="50"/>
  <c r="M44" i="50"/>
  <c r="N44" i="50"/>
  <c r="P44" i="50"/>
  <c r="K43" i="50"/>
  <c r="L43" i="50"/>
  <c r="M43" i="50"/>
  <c r="N43" i="50"/>
  <c r="P43" i="50"/>
  <c r="J24" i="50"/>
  <c r="J23" i="50"/>
  <c r="J22" i="50"/>
  <c r="J21" i="50"/>
  <c r="J20" i="50"/>
  <c r="J19" i="50"/>
  <c r="J18" i="50"/>
  <c r="K25" i="49"/>
  <c r="L25" i="49"/>
  <c r="M25" i="49"/>
  <c r="O25" i="49"/>
  <c r="N25" i="49"/>
  <c r="P25" i="49"/>
  <c r="R25" i="49"/>
  <c r="J25" i="49"/>
  <c r="K65" i="49"/>
  <c r="L65" i="49"/>
  <c r="M65" i="49"/>
  <c r="N65" i="49"/>
  <c r="P65" i="49"/>
  <c r="I92" i="49"/>
  <c r="I93" i="49"/>
  <c r="I94" i="49"/>
  <c r="I91" i="49"/>
  <c r="I84" i="49"/>
  <c r="I85" i="49"/>
  <c r="I86" i="49"/>
  <c r="I87" i="49"/>
  <c r="I88" i="49"/>
  <c r="I89" i="49"/>
  <c r="I90" i="49"/>
  <c r="I83" i="49"/>
  <c r="I82" i="49"/>
  <c r="I81" i="49"/>
  <c r="I80" i="49"/>
  <c r="I77" i="49"/>
  <c r="I79" i="49"/>
  <c r="I78" i="49"/>
  <c r="I76" i="49"/>
  <c r="I75" i="49"/>
  <c r="I74" i="49"/>
  <c r="I73" i="49"/>
  <c r="I72" i="49"/>
  <c r="I71" i="49"/>
  <c r="I70" i="49"/>
  <c r="I69" i="49"/>
  <c r="I68" i="49"/>
  <c r="I67" i="49"/>
  <c r="I66" i="49"/>
  <c r="I65" i="49"/>
  <c r="K73" i="49"/>
  <c r="L73" i="49"/>
  <c r="M73" i="49"/>
  <c r="N73" i="49"/>
  <c r="K72" i="49"/>
  <c r="L72" i="49"/>
  <c r="M72" i="49"/>
  <c r="N72" i="49"/>
  <c r="K66" i="49"/>
  <c r="L66" i="49"/>
  <c r="M66" i="49"/>
  <c r="N66" i="49"/>
  <c r="K67" i="49"/>
  <c r="L67" i="49"/>
  <c r="M67" i="49"/>
  <c r="N67" i="49"/>
  <c r="K68" i="49"/>
  <c r="L68" i="49"/>
  <c r="M68" i="49"/>
  <c r="N68" i="49"/>
  <c r="K69" i="49"/>
  <c r="L69" i="49"/>
  <c r="M69" i="49"/>
  <c r="N69" i="49"/>
  <c r="K70" i="49"/>
  <c r="L70" i="49"/>
  <c r="M70" i="49"/>
  <c r="N70" i="49"/>
  <c r="K71" i="49"/>
  <c r="L71" i="49"/>
  <c r="M71" i="49"/>
  <c r="N71" i="49"/>
  <c r="K74" i="49"/>
  <c r="L74" i="49"/>
  <c r="M74" i="49"/>
  <c r="N74" i="49"/>
  <c r="K75" i="49"/>
  <c r="L75" i="49"/>
  <c r="M75" i="49"/>
  <c r="N75" i="49"/>
  <c r="K76" i="49"/>
  <c r="L76" i="49"/>
  <c r="M76" i="49"/>
  <c r="N76" i="49"/>
  <c r="K77" i="49"/>
  <c r="L77" i="49"/>
  <c r="M77" i="49"/>
  <c r="N77" i="49"/>
  <c r="K78" i="49"/>
  <c r="L78" i="49"/>
  <c r="M78" i="49"/>
  <c r="N78" i="49"/>
  <c r="K79" i="49"/>
  <c r="L79" i="49"/>
  <c r="M79" i="49"/>
  <c r="N79" i="49"/>
  <c r="K80" i="49"/>
  <c r="L80" i="49"/>
  <c r="M80" i="49"/>
  <c r="N80" i="49"/>
  <c r="K81" i="49"/>
  <c r="L81" i="49"/>
  <c r="M81" i="49"/>
  <c r="N81" i="49"/>
  <c r="K82" i="49"/>
  <c r="L82" i="49"/>
  <c r="M82" i="49"/>
  <c r="N82" i="49"/>
  <c r="K83" i="49"/>
  <c r="L83" i="49"/>
  <c r="M83" i="49"/>
  <c r="N83" i="49"/>
  <c r="K84" i="49"/>
  <c r="L84" i="49"/>
  <c r="M84" i="49"/>
  <c r="N84" i="49"/>
  <c r="K85" i="49"/>
  <c r="L85" i="49"/>
  <c r="M85" i="49"/>
  <c r="N85" i="49"/>
  <c r="K86" i="49"/>
  <c r="L86" i="49"/>
  <c r="M86" i="49"/>
  <c r="N86" i="49"/>
  <c r="K87" i="49"/>
  <c r="L87" i="49"/>
  <c r="M87" i="49"/>
  <c r="N87" i="49"/>
  <c r="K88" i="49"/>
  <c r="L88" i="49"/>
  <c r="M88" i="49"/>
  <c r="N88" i="49"/>
  <c r="K89" i="49"/>
  <c r="L89" i="49"/>
  <c r="M89" i="49"/>
  <c r="N89" i="49"/>
  <c r="K90" i="49"/>
  <c r="L90" i="49"/>
  <c r="M90" i="49"/>
  <c r="N90" i="49"/>
  <c r="K91" i="49"/>
  <c r="L91" i="49"/>
  <c r="M91" i="49"/>
  <c r="N91" i="49"/>
  <c r="K92" i="49"/>
  <c r="L92" i="49"/>
  <c r="M92" i="49"/>
  <c r="N92" i="49"/>
  <c r="K93" i="49"/>
  <c r="L93" i="49"/>
  <c r="M93" i="49"/>
  <c r="N93" i="49"/>
  <c r="K94" i="49"/>
  <c r="L94" i="49"/>
  <c r="M94" i="49"/>
  <c r="N94" i="49"/>
  <c r="O71" i="49"/>
  <c r="P71" i="49"/>
  <c r="R71" i="49"/>
  <c r="P72" i="49"/>
  <c r="R72" i="49"/>
  <c r="P73" i="49"/>
  <c r="R73" i="49"/>
  <c r="O74" i="49"/>
  <c r="P74" i="49"/>
  <c r="R74" i="49"/>
  <c r="O75" i="49"/>
  <c r="P75" i="49"/>
  <c r="R75" i="49"/>
  <c r="O76" i="49"/>
  <c r="P76" i="49"/>
  <c r="R76" i="49"/>
  <c r="O77" i="49"/>
  <c r="P77" i="49"/>
  <c r="R77" i="49"/>
  <c r="O78" i="49"/>
  <c r="P78" i="49"/>
  <c r="R78" i="49"/>
  <c r="O79" i="49"/>
  <c r="P79" i="49"/>
  <c r="R79" i="49"/>
  <c r="O80" i="49"/>
  <c r="P80" i="49"/>
  <c r="R80" i="49"/>
  <c r="O81" i="49"/>
  <c r="P81" i="49"/>
  <c r="R81" i="49"/>
  <c r="O82" i="49"/>
  <c r="P82" i="49"/>
  <c r="R82" i="49"/>
  <c r="O83" i="49"/>
  <c r="P83" i="49"/>
  <c r="R83" i="49"/>
  <c r="O84" i="49"/>
  <c r="P84" i="49"/>
  <c r="R84" i="49"/>
  <c r="O85" i="49"/>
  <c r="P85" i="49"/>
  <c r="R85" i="49"/>
  <c r="O86" i="49"/>
  <c r="P86" i="49"/>
  <c r="R86" i="49"/>
  <c r="O87" i="49"/>
  <c r="P87" i="49"/>
  <c r="R87" i="49"/>
  <c r="O88" i="49"/>
  <c r="P88" i="49"/>
  <c r="R88" i="49"/>
  <c r="O89" i="49"/>
  <c r="P89" i="49"/>
  <c r="R89" i="49"/>
  <c r="O90" i="49"/>
  <c r="P90" i="49"/>
  <c r="R90" i="49"/>
  <c r="O91" i="49"/>
  <c r="P91" i="49"/>
  <c r="R91" i="49"/>
  <c r="O92" i="49"/>
  <c r="P92" i="49"/>
  <c r="R92" i="49"/>
  <c r="O93" i="49"/>
  <c r="P93" i="49"/>
  <c r="R93" i="49"/>
  <c r="O94" i="49"/>
  <c r="P94" i="49"/>
  <c r="R94" i="49"/>
  <c r="P70" i="49"/>
  <c r="R70" i="49"/>
  <c r="P69" i="49"/>
  <c r="R69" i="49"/>
  <c r="P68" i="49"/>
  <c r="R68" i="49"/>
  <c r="P67" i="49"/>
  <c r="R67" i="49"/>
  <c r="P66" i="49"/>
  <c r="R66" i="49"/>
  <c r="R65" i="49"/>
  <c r="J24" i="49"/>
  <c r="J23" i="49"/>
  <c r="J22" i="49"/>
  <c r="J21" i="49"/>
  <c r="J20" i="49"/>
  <c r="J19" i="49"/>
  <c r="J18" i="49"/>
  <c r="O30" i="51"/>
  <c r="V30" i="51"/>
  <c r="Y22" i="51"/>
  <c r="O27" i="51"/>
  <c r="V27" i="51"/>
  <c r="Y15" i="51"/>
  <c r="V15" i="51"/>
  <c r="X15" i="51"/>
  <c r="W25" i="51"/>
  <c r="W15" i="51"/>
  <c r="I54" i="50"/>
  <c r="J54" i="50"/>
  <c r="W22" i="51"/>
  <c r="W27" i="51"/>
  <c r="Y32" i="51"/>
  <c r="O32" i="51"/>
  <c r="V32" i="51"/>
  <c r="O29" i="51"/>
  <c r="V29" i="51"/>
  <c r="Y29" i="51"/>
  <c r="Y21" i="51"/>
  <c r="O21" i="51"/>
  <c r="V21" i="51"/>
  <c r="O13" i="51"/>
  <c r="V13" i="51"/>
  <c r="Y13" i="51"/>
  <c r="Y25" i="51"/>
  <c r="O12" i="51"/>
  <c r="V12" i="51"/>
  <c r="Y12" i="51"/>
  <c r="Y31" i="51"/>
  <c r="O31" i="51"/>
  <c r="V31" i="51"/>
  <c r="Y26" i="51"/>
  <c r="O26" i="51"/>
  <c r="V26" i="51"/>
  <c r="O23" i="51"/>
  <c r="V23" i="51"/>
  <c r="Y23" i="51"/>
  <c r="Y20" i="51"/>
  <c r="O20" i="51"/>
  <c r="V20" i="51"/>
  <c r="Y17" i="51"/>
  <c r="O17" i="51"/>
  <c r="V17" i="51"/>
  <c r="Y9" i="51"/>
  <c r="O9" i="51"/>
  <c r="V9" i="51"/>
  <c r="I62" i="50"/>
  <c r="J62" i="50"/>
  <c r="X30" i="51"/>
  <c r="W30" i="51"/>
  <c r="Y33" i="51"/>
  <c r="O33" i="51"/>
  <c r="V33" i="51"/>
  <c r="Y28" i="51"/>
  <c r="O28" i="51"/>
  <c r="V28" i="51"/>
  <c r="Y19" i="51"/>
  <c r="O19" i="51"/>
  <c r="V19" i="51"/>
  <c r="Y14" i="51"/>
  <c r="O14" i="51"/>
  <c r="V14" i="51"/>
  <c r="Y7" i="51"/>
  <c r="O7" i="51"/>
  <c r="V7" i="51"/>
  <c r="O24" i="51"/>
  <c r="V24" i="51"/>
  <c r="I48" i="50"/>
  <c r="J48" i="50"/>
  <c r="I57" i="50"/>
  <c r="J57" i="50"/>
  <c r="I59" i="50"/>
  <c r="J59" i="50"/>
  <c r="X27" i="51"/>
  <c r="Y18" i="51"/>
  <c r="O18" i="51"/>
  <c r="V18" i="51"/>
  <c r="O16" i="51"/>
  <c r="V16" i="51"/>
  <c r="Y16" i="51"/>
  <c r="Y8" i="51"/>
  <c r="O8" i="51"/>
  <c r="V8" i="51"/>
  <c r="X16" i="51"/>
  <c r="I49" i="50"/>
  <c r="J49" i="50"/>
  <c r="W16" i="51"/>
  <c r="X7" i="51"/>
  <c r="I25" i="50"/>
  <c r="J25" i="50"/>
  <c r="W7" i="51"/>
  <c r="V61" i="51"/>
  <c r="X19" i="51"/>
  <c r="W19" i="51"/>
  <c r="I52" i="50"/>
  <c r="J52" i="50"/>
  <c r="X33" i="51"/>
  <c r="W33" i="51"/>
  <c r="I65" i="50"/>
  <c r="J65" i="50"/>
  <c r="X23" i="51"/>
  <c r="I55" i="50"/>
  <c r="J55" i="50"/>
  <c r="W23" i="51"/>
  <c r="I26" i="50"/>
  <c r="J26" i="50"/>
  <c r="X8" i="51"/>
  <c r="W8" i="51"/>
  <c r="W18" i="51"/>
  <c r="I51" i="50"/>
  <c r="J51" i="50"/>
  <c r="X18" i="51"/>
  <c r="Y61" i="51"/>
  <c r="W9" i="51"/>
  <c r="I27" i="50"/>
  <c r="J27" i="50"/>
  <c r="X9" i="51"/>
  <c r="W26" i="51"/>
  <c r="I58" i="50"/>
  <c r="J58" i="50"/>
  <c r="X26" i="51"/>
  <c r="I61" i="50"/>
  <c r="J61" i="50"/>
  <c r="X29" i="51"/>
  <c r="W29" i="51"/>
  <c r="X14" i="51"/>
  <c r="I47" i="50"/>
  <c r="J47" i="50"/>
  <c r="W14" i="51"/>
  <c r="I60" i="50"/>
  <c r="J60" i="50"/>
  <c r="W28" i="51"/>
  <c r="X28" i="51"/>
  <c r="W12" i="51"/>
  <c r="I45" i="50"/>
  <c r="J45" i="50"/>
  <c r="X12" i="51"/>
  <c r="X21" i="51"/>
  <c r="W21" i="51"/>
  <c r="W32" i="51"/>
  <c r="X32" i="51"/>
  <c r="I64" i="50"/>
  <c r="J64" i="50"/>
  <c r="I53" i="50"/>
  <c r="J53" i="50"/>
  <c r="W20" i="51"/>
  <c r="X20" i="51"/>
  <c r="X13" i="51"/>
  <c r="I46" i="50"/>
  <c r="J46" i="50"/>
  <c r="W13" i="51"/>
  <c r="W24" i="51"/>
  <c r="I56" i="50"/>
  <c r="J56" i="50"/>
  <c r="X24" i="51"/>
  <c r="X17" i="51"/>
  <c r="I50" i="50"/>
  <c r="J50" i="50"/>
  <c r="W17" i="51"/>
  <c r="I63" i="50"/>
  <c r="J63" i="50"/>
  <c r="X31" i="51"/>
  <c r="W31" i="51"/>
  <c r="X61" i="51"/>
  <c r="W61" i="51"/>
  <c r="P17" i="52"/>
  <c r="R17" i="52"/>
  <c r="P18" i="52"/>
  <c r="R18" i="52"/>
  <c r="P19" i="52"/>
  <c r="R19" i="52"/>
  <c r="U29" i="52"/>
  <c r="N29" i="52"/>
  <c r="V27" i="52"/>
  <c r="R27" i="52"/>
  <c r="R28" i="52"/>
  <c r="V28" i="52"/>
  <c r="V29" i="52"/>
  <c r="W29" i="52"/>
  <c r="P29" i="52"/>
  <c r="R29" i="52"/>
  <c r="R40" i="50"/>
  <c r="I40" i="50"/>
  <c r="J40" i="50"/>
  <c r="R38" i="50"/>
  <c r="V38" i="50"/>
  <c r="I38" i="50"/>
  <c r="J38" i="50"/>
  <c r="I43" i="50"/>
  <c r="J43" i="50"/>
  <c r="R43" i="50"/>
  <c r="P42" i="50"/>
  <c r="R42" i="50"/>
  <c r="I42" i="50"/>
  <c r="J42" i="50"/>
  <c r="V37" i="50"/>
  <c r="I37" i="50"/>
  <c r="J37" i="50"/>
  <c r="R37" i="50"/>
  <c r="U39" i="50"/>
  <c r="N39" i="50"/>
  <c r="R44" i="50"/>
  <c r="I44" i="50"/>
  <c r="J44" i="50"/>
  <c r="I41" i="50"/>
  <c r="J41" i="50"/>
  <c r="P41" i="50"/>
  <c r="R41" i="50"/>
  <c r="R31" i="53"/>
  <c r="I31" i="53"/>
  <c r="J31" i="53"/>
  <c r="V28" i="53"/>
  <c r="I28" i="53"/>
  <c r="J28" i="53"/>
  <c r="R28" i="53"/>
  <c r="V27" i="53"/>
  <c r="R27" i="53"/>
  <c r="I27" i="53"/>
  <c r="J27" i="53"/>
  <c r="U29" i="53"/>
  <c r="N29" i="53"/>
  <c r="R32" i="53"/>
  <c r="I32" i="53"/>
  <c r="J32" i="53"/>
  <c r="R34" i="53"/>
  <c r="I34" i="53"/>
  <c r="J34" i="53"/>
  <c r="I30" i="53"/>
  <c r="J30" i="53"/>
  <c r="R30" i="53"/>
  <c r="I33" i="53"/>
  <c r="J33" i="53"/>
  <c r="R33" i="53"/>
  <c r="V39" i="50"/>
  <c r="W39" i="50"/>
  <c r="P39" i="50"/>
  <c r="P29" i="53"/>
  <c r="V29" i="53"/>
  <c r="W29" i="53"/>
  <c r="R39" i="50"/>
  <c r="I39" i="50"/>
  <c r="J39" i="50"/>
  <c r="R29" i="53"/>
  <c r="I29" i="53"/>
  <c r="J29" i="53"/>
</calcChain>
</file>

<file path=xl/comments1.xml><?xml version="1.0" encoding="utf-8"?>
<comments xmlns="http://schemas.openxmlformats.org/spreadsheetml/2006/main">
  <authors>
    <author>Patricia De Los Angeles Asencio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Patricia De Los Angeles Asencio:</t>
        </r>
        <r>
          <rPr>
            <sz val="9"/>
            <color indexed="81"/>
            <rFont val="Tahoma"/>
            <family val="2"/>
          </rPr>
          <t xml:space="preserve">
Este campo debe modificarse a la fecha a la cual se calculará la depreciación.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Patricia De Los Angeles Asencio:</t>
        </r>
        <r>
          <rPr>
            <sz val="9"/>
            <color indexed="81"/>
            <rFont val="Tahoma"/>
            <family val="2"/>
          </rPr>
          <t xml:space="preserve">
Esta fecha se debe cambiar a la ultima fecha que se aplico depreciación.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Patricia De Los Angeles Asencio:</t>
        </r>
        <r>
          <rPr>
            <sz val="9"/>
            <color indexed="81"/>
            <rFont val="Tahoma"/>
            <family val="2"/>
          </rPr>
          <t xml:space="preserve">
Este porcentaje representa para los bienes depreciables el valor residual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Patricia De Los Angeles Asencio:</t>
        </r>
        <r>
          <rPr>
            <sz val="9"/>
            <color indexed="81"/>
            <rFont val="Tahoma"/>
            <family val="2"/>
          </rPr>
          <t xml:space="preserve">
Para efectos del calculo de depreciación en el reporte del SIAF, anque se trate de año bisiesto se mantiene en 365 días.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Patricia De Los Angeles Asencio:</t>
        </r>
        <r>
          <rPr>
            <sz val="9"/>
            <color indexed="81"/>
            <rFont val="Tahoma"/>
            <family val="2"/>
          </rPr>
          <t xml:space="preserve">
Este dato se mantiene sin cambios es fijo para completar los días totales en los cuales se depreciará un bien.</t>
        </r>
      </text>
    </comment>
    <comment ref="T2" authorId="0">
      <text>
        <r>
          <rPr>
            <b/>
            <sz val="9"/>
            <color indexed="81"/>
            <rFont val="Tahoma"/>
            <family val="2"/>
          </rPr>
          <t>Patricia De Los Angeles Asencio:</t>
        </r>
        <r>
          <rPr>
            <sz val="9"/>
            <color indexed="81"/>
            <rFont val="Tahoma"/>
            <family val="2"/>
          </rPr>
          <t xml:space="preserve">
Este dato son los días calendario que el reporte reflejará de acuerdo al número de días que tiene cada mes ejemplo enero 31, febrero 28 y abril 30. </t>
        </r>
        <r>
          <rPr>
            <b/>
            <sz val="9"/>
            <color indexed="81"/>
            <rFont val="Tahoma"/>
            <family val="2"/>
          </rPr>
          <t>(no esta relacionado con el cálculo de la depreciación que se mantiene fija en 365 días).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Patricia De Los Angeles Asencio:</t>
        </r>
        <r>
          <rPr>
            <sz val="9"/>
            <color indexed="81"/>
            <rFont val="Tahoma"/>
            <family val="2"/>
          </rPr>
          <t xml:space="preserve">
Este campo representa en años la vida util del bien, la cual puede ser en porcentaje de:
2.5% = 40 años, 
10%=10 años, 
20%= 5 años</t>
        </r>
      </text>
    </comment>
  </commentList>
</comments>
</file>

<file path=xl/sharedStrings.xml><?xml version="1.0" encoding="utf-8"?>
<sst xmlns="http://schemas.openxmlformats.org/spreadsheetml/2006/main" count="941" uniqueCount="141">
  <si>
    <t>COMPROBANTE</t>
  </si>
  <si>
    <t>DESCRIPCION DEL BIEN</t>
  </si>
  <si>
    <t>Servidor</t>
  </si>
  <si>
    <t>Fuente de Financiamiento:  Fondo General</t>
  </si>
  <si>
    <t>MINISTERIO DE HACIENDA</t>
  </si>
  <si>
    <t>DIRECCIÓN FINANCIERA</t>
  </si>
  <si>
    <t>CANTIDAD</t>
  </si>
  <si>
    <t>Dirección Financiera – Departamento de Contabilidad</t>
  </si>
  <si>
    <t>Boulevard de Los Héroes No. 1231, edificio Ministerio de Hacienda, San Salvador</t>
  </si>
  <si>
    <t>Tel.2244-3364,  Ext. 3363, 3365 y 3366</t>
  </si>
  <si>
    <t xml:space="preserve"> CON VALOR ACTUAL MAYOR A $20,000.00</t>
  </si>
  <si>
    <t>REGISTRO CONTABLE</t>
  </si>
  <si>
    <t xml:space="preserve"> VALOR ACTUAL </t>
  </si>
  <si>
    <t>Sistema de Almacenamiento SAN</t>
  </si>
  <si>
    <t>Switch NEXUS 7010</t>
  </si>
  <si>
    <t>VALOR  DE ADQUISICION</t>
  </si>
  <si>
    <t xml:space="preserve">MARCA </t>
  </si>
  <si>
    <t>MODELO</t>
  </si>
  <si>
    <t>TRANE</t>
  </si>
  <si>
    <t>TRAA1554YN01A0B0</t>
  </si>
  <si>
    <t>S/M</t>
  </si>
  <si>
    <t>IBM</t>
  </si>
  <si>
    <t>P650</t>
  </si>
  <si>
    <t>FG-3810A</t>
  </si>
  <si>
    <t>CISCO</t>
  </si>
  <si>
    <t>N7K-C7010</t>
  </si>
  <si>
    <t>HP</t>
  </si>
  <si>
    <t>9117-MMA</t>
  </si>
  <si>
    <t>FORTINET</t>
  </si>
  <si>
    <t>Planta para generar aire acondicionado</t>
  </si>
  <si>
    <t>HP1800G2</t>
  </si>
  <si>
    <t xml:space="preserve">Switch multicapas CISCO NEXUS 7010    </t>
  </si>
  <si>
    <t>Equipo Firewall</t>
  </si>
  <si>
    <t xml:space="preserve">Servidor de Datos </t>
  </si>
  <si>
    <t>Unidad de Almacenamiento o NAS</t>
  </si>
  <si>
    <t>1/122 y 1/123 y 1/124</t>
  </si>
  <si>
    <t>1/031198</t>
  </si>
  <si>
    <t>1/0311</t>
  </si>
  <si>
    <t>1/11980</t>
  </si>
  <si>
    <t>1/0948</t>
  </si>
  <si>
    <t>1/05473</t>
  </si>
  <si>
    <t>CERTIFICADA BAJO LAS NORMAS ISO 9001 POR LA SOCIACION ESPAÑOLA DE NORMALIZACION Y CERTIFICACION</t>
  </si>
  <si>
    <t>1/0524
1/0525</t>
  </si>
  <si>
    <t>Storwize V7000 G2 (2076-524)</t>
  </si>
  <si>
    <t>VALOR ACTUAL</t>
  </si>
  <si>
    <t>No. DE FACTURA</t>
  </si>
  <si>
    <t>ENMELM-6000</t>
  </si>
  <si>
    <t>INTEL SECURITY</t>
  </si>
  <si>
    <t>LENOVO</t>
  </si>
  <si>
    <t>X3550 M5</t>
  </si>
  <si>
    <t>Servidor para la solución de Respaldo</t>
  </si>
  <si>
    <t>Servidor Sistema de Almacenamiento Físico</t>
  </si>
  <si>
    <t>2072-24C</t>
  </si>
  <si>
    <t>8284 22A</t>
  </si>
  <si>
    <t>Facts. 079, 080, 085 y 086</t>
  </si>
  <si>
    <t>Fact. 32704</t>
  </si>
  <si>
    <t>Fact. 32861</t>
  </si>
  <si>
    <t>Fact. 37170</t>
  </si>
  <si>
    <t>Fact. 03791</t>
  </si>
  <si>
    <t>Fact. 3346</t>
  </si>
  <si>
    <t>Fact. 0141</t>
  </si>
  <si>
    <t>Fact. 0036</t>
  </si>
  <si>
    <t>1/0675</t>
  </si>
  <si>
    <t>1/0653</t>
  </si>
  <si>
    <t>Fact. 4475</t>
  </si>
  <si>
    <t xml:space="preserve">1/0471  </t>
  </si>
  <si>
    <t>PROYECTO ASISTENCIA TECNICA PARA LA ADMINISTRACION FISCAL Y DESEMPEÑO DEL SECTOR PUBLICO PRESTAMO BIRF 7812-SV</t>
  </si>
  <si>
    <t>Equipo de Video conferencia</t>
  </si>
  <si>
    <t>Polycom</t>
  </si>
  <si>
    <t>Group 500</t>
  </si>
  <si>
    <t xml:space="preserve">00255, 00257, 00260, 00265 </t>
  </si>
  <si>
    <t>C2248TP</t>
  </si>
  <si>
    <t>C2232PP-10GE</t>
  </si>
  <si>
    <t>WS-C3750X-4BU-E</t>
  </si>
  <si>
    <t>CISCO CATALYST</t>
  </si>
  <si>
    <t>EQUIPO NEXUS 2000 C2232PP-10GB</t>
  </si>
  <si>
    <t>Cisco NEXUS 2000 C2232PP-10GB</t>
  </si>
  <si>
    <t>EQUIPO NEXUS 2000 C2246TP</t>
  </si>
  <si>
    <t>DEPRECIACION (enero a marzo)</t>
  </si>
  <si>
    <t>VALOR ANTERIOR</t>
  </si>
  <si>
    <t>DEPRECIACIÓN ACUMULADA A MARZO/2017</t>
  </si>
  <si>
    <t>INFORMACION REGISTRO CONTABLE DE BIENES MUEBLES AL 31 DE MARZO DE 2017</t>
  </si>
  <si>
    <t>INFORMACION REGISTRO CONTABLE DE BIENES MUEBLES AL 31 DE MARZO 2017</t>
  </si>
  <si>
    <t>DEPRECIACIÓN ACUMULADA A MARZO 2017</t>
  </si>
  <si>
    <t>NUMERO DE DIAS</t>
  </si>
  <si>
    <t>VALOR  DIARIO</t>
  </si>
  <si>
    <t>NÚMERO DE MESES</t>
  </si>
  <si>
    <t>VALOR MENSUAL</t>
  </si>
  <si>
    <t>TOYOTA</t>
  </si>
  <si>
    <t>ZSA44L-ANXXK</t>
  </si>
  <si>
    <t xml:space="preserve">Acta de Traslado </t>
  </si>
  <si>
    <t>Nota:</t>
  </si>
  <si>
    <t>La camioneta Rav4 fue adquirida con fondos de préstamos externos, Préstamo BIRF-7916-SV, através del Proyecto de Fortalecimiento de Gobiernos Locales (PFGL); y al finalizar la ejecución del proyecto fue trasladada al Ministerio de Hacienda.</t>
  </si>
  <si>
    <t>Camioneta Rav Four</t>
  </si>
  <si>
    <t>Fact. 5376</t>
  </si>
  <si>
    <t>SNS 3595</t>
  </si>
  <si>
    <t>d</t>
  </si>
  <si>
    <t>No.</t>
  </si>
  <si>
    <t>CUENTA CONTABLE</t>
  </si>
  <si>
    <t>CÓDIGO DE INVENTARIO</t>
  </si>
  <si>
    <t>MARCA</t>
  </si>
  <si>
    <t>DESCRIPCIÓN</t>
  </si>
  <si>
    <t>VIDA ÚTIL AÑOS</t>
  </si>
  <si>
    <t>FECHA DE ADQUISICIÓN</t>
  </si>
  <si>
    <t>FECHA FINAL DEPRECIACIÓN</t>
  </si>
  <si>
    <t>TOTAL DE DÍAS A DEPRECIAR EL BIEN</t>
  </si>
  <si>
    <t>FECHA DEL REPORTE</t>
  </si>
  <si>
    <t>NÚMERO DE DÍAS A LA FECHA DEL REPORTE</t>
  </si>
  <si>
    <t>FECHA A DISMINUIR</t>
  </si>
  <si>
    <t>RESULTADO</t>
  </si>
  <si>
    <t># DÍAS PARA APLICAR DEPRECIACIÓN</t>
  </si>
  <si>
    <t>TOTAL DÍAS ACUMULADOS</t>
  </si>
  <si>
    <t>VALOR DE ADQUISICIÓN</t>
  </si>
  <si>
    <t>VALOR RESIDUAL</t>
  </si>
  <si>
    <t>VALOR A DEPRECIAR</t>
  </si>
  <si>
    <t>DEPRECIACIÓN ANUAL</t>
  </si>
  <si>
    <t>DEPRECIACIÓN MENSUAL</t>
  </si>
  <si>
    <t>DEPRECIACIÓN DIARIA</t>
  </si>
  <si>
    <t>DEPRECIACIÓN ACUMULADA</t>
  </si>
  <si>
    <t>SALDO PENDIENTE</t>
  </si>
  <si>
    <t>DEPRECIACIÓN A APLICAR</t>
  </si>
  <si>
    <t>Servidor de Control de Acceso Seguro</t>
  </si>
  <si>
    <t>Cálculo diario</t>
  </si>
  <si>
    <t>Cálculo mensual</t>
  </si>
  <si>
    <t>1/06783</t>
  </si>
  <si>
    <t>Fact 5376</t>
  </si>
  <si>
    <t>Depreciados</t>
  </si>
  <si>
    <t>FONDO GENERAL</t>
  </si>
  <si>
    <t>PROYECTO 4958</t>
  </si>
  <si>
    <t>1/01614</t>
  </si>
  <si>
    <t>1/0958</t>
  </si>
  <si>
    <t>INFORMACION REGISTRO CONTABLE DE BIENES MUEBLES AL 30 DE SEPTIEMBRE DE  2017</t>
  </si>
  <si>
    <t>DEPRECIACIÓN ACUMULADA A SEPTIEMBRE/2017</t>
  </si>
  <si>
    <t>DEPRECIACIÓN ACUMULADA A SEPTIEMBRE 2017</t>
  </si>
  <si>
    <t>INFORMACION REGISTRO CONTABLE DE BIENES MUEBLES AL 30 DE JULIO 2017</t>
  </si>
  <si>
    <t>DEPRECIACIÓN ACUMULADA A JULIO 2017</t>
  </si>
  <si>
    <t>INFORMACION REGISTRO CONTABLE DE BIENES MUEBLES AL 31 DE JULIO 2017</t>
  </si>
  <si>
    <t>DEPRECIACIÓN ACUMULADA A JULIO/2017</t>
  </si>
  <si>
    <t>Se eliminará</t>
  </si>
  <si>
    <t>INFORMACION REGISTRO CONTABLE DE BIENES MUEBLES AL 31 DE DICIEMBRE DE  2017</t>
  </si>
  <si>
    <t>DEPRECIACIÓN ACUMULADA A DICIMBRE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</si>
</sst>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70" formatCode="_-&quot;$&quot;* #,##0.00_-;\-&quot;$&quot;* #,##0.00_-;_-&quot;$&quot;* &quot;-&quot;??_-;_-@_-"/>
    <numFmt numFmtId="171" formatCode="_-* #,##0.00_-;\-* #,##0.00_-;_-* &quot;-&quot;??_-;_-@_-"/>
    <numFmt numFmtId="174" formatCode="_-* #,##0.00\ &quot;$&quot;_-;\-* #,##0.00\ &quot;$&quot;_-;_-* &quot;-&quot;??\ &quot;$&quot;_-;_-@_-"/>
    <numFmt numFmtId="176" formatCode="_-[$$-440A]* #,##0.00_ ;_-[$$-440A]* \-#,##0.00\ ;_-[$$-440A]* &quot;-&quot;??_ ;_-@_ "/>
    <numFmt numFmtId="178" formatCode="_-* #,##0.00\ &quot;€&quot;_-;\-* #,##0.00\ &quot;€&quot;_-;_-* &quot;-&quot;??\ &quot;€&quot;_-;_-@_-"/>
    <numFmt numFmtId="180" formatCode="dd/mm/yy;@"/>
    <numFmt numFmtId="181" formatCode="_-[$$-440A]* #,##0.00_-;\-[$$-440A]* #,##0.00_-;_-[$$-440A]* &quot;-&quot;??_-;_-@_-"/>
    <numFmt numFmtId="183" formatCode="dd/mm/yyyy;@"/>
    <numFmt numFmtId="184" formatCode="_-&quot;$&quot;* #,##0.000_-;\-&quot;$&quot;* #,##0.000_-;_-&quot;$&quot;* &quot;-&quot;??_-;_-@_-"/>
  </numFmts>
  <fonts count="64" x14ac:knownFonts="1">
    <font>
      <sz val="10"/>
      <name val="Arial"/>
    </font>
    <font>
      <sz val="10"/>
      <name val="Arial"/>
    </font>
    <font>
      <i/>
      <sz val="16"/>
      <name val="Arial"/>
      <family val="2"/>
    </font>
    <font>
      <b/>
      <i/>
      <sz val="2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i/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sz val="17"/>
      <name val="Arial Unicode MS"/>
      <family val="2"/>
    </font>
    <font>
      <sz val="15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Unicode MS"/>
      <family val="2"/>
    </font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8"/>
      <color theme="1"/>
      <name val="Arial"/>
      <family val="2"/>
    </font>
    <font>
      <sz val="17"/>
      <color theme="1"/>
      <name val="Arial"/>
      <family val="2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b/>
      <i/>
      <sz val="17"/>
      <color theme="1"/>
      <name val="Arial"/>
      <family val="2"/>
    </font>
    <font>
      <i/>
      <sz val="18"/>
      <color theme="1"/>
      <name val="Arial"/>
      <family val="2"/>
    </font>
    <font>
      <sz val="7"/>
      <color rgb="FF000000"/>
      <name val="Arial"/>
      <family val="2"/>
    </font>
    <font>
      <i/>
      <sz val="17"/>
      <color theme="1"/>
      <name val="Arial"/>
      <family val="2"/>
    </font>
    <font>
      <b/>
      <i/>
      <sz val="18"/>
      <color theme="1"/>
      <name val="Arial"/>
      <family val="2"/>
    </font>
    <font>
      <sz val="17"/>
      <color theme="1"/>
      <name val="Arial Unicode MS"/>
      <family val="2"/>
    </font>
    <font>
      <sz val="17"/>
      <color theme="1"/>
      <name val="Arial Narrow"/>
      <family val="2"/>
    </font>
    <font>
      <sz val="16"/>
      <color theme="1"/>
      <name val="Arial"/>
      <family val="2"/>
    </font>
    <font>
      <sz val="7"/>
      <color theme="1"/>
      <name val="Arial"/>
      <family val="2"/>
    </font>
    <font>
      <b/>
      <i/>
      <u/>
      <sz val="18"/>
      <color theme="1"/>
      <name val="Arial"/>
      <family val="2"/>
    </font>
    <font>
      <u/>
      <sz val="18"/>
      <color theme="1"/>
      <name val="Arial"/>
      <family val="2"/>
    </font>
    <font>
      <b/>
      <sz val="17"/>
      <color theme="1"/>
      <name val="Arial"/>
      <family val="2"/>
    </font>
    <font>
      <i/>
      <sz val="16"/>
      <color rgb="FFFF0000"/>
      <name val="Arial"/>
      <family val="2"/>
    </font>
    <font>
      <sz val="17"/>
      <color rgb="FFFF0000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6"/>
      <color theme="1"/>
      <name val="Arial"/>
      <family val="2"/>
    </font>
    <font>
      <sz val="9"/>
      <color theme="1"/>
      <name val="Arial Unicode MS"/>
      <family val="2"/>
    </font>
    <font>
      <sz val="10"/>
      <color theme="1"/>
      <name val="Arial"/>
      <family val="2"/>
    </font>
    <font>
      <sz val="10"/>
      <color theme="1"/>
      <name val="Arial Unicode MS"/>
      <family val="2"/>
    </font>
    <font>
      <b/>
      <sz val="10"/>
      <color theme="0" tint="-4.9989318521683403E-2"/>
      <name val="Arial Narrow"/>
      <family val="2"/>
    </font>
    <font>
      <b/>
      <sz val="9"/>
      <color theme="1"/>
      <name val="Arial Unicode MS"/>
      <family val="2"/>
    </font>
    <font>
      <b/>
      <sz val="9"/>
      <color theme="1"/>
      <name val="Arial"/>
      <family val="2"/>
    </font>
    <font>
      <b/>
      <sz val="9"/>
      <color theme="1"/>
      <name val="Arial Narrow"/>
      <family val="2"/>
    </font>
    <font>
      <sz val="16"/>
      <color theme="1"/>
      <name val="Arial Unicode MS"/>
      <family val="2"/>
    </font>
    <font>
      <b/>
      <i/>
      <sz val="20"/>
      <color theme="1"/>
      <name val="Arial"/>
      <family val="2"/>
    </font>
    <font>
      <b/>
      <sz val="10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178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70" fontId="26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6" fillId="0" borderId="0"/>
    <xf numFmtId="9" fontId="4" fillId="0" borderId="0" applyFont="0" applyFill="0" applyBorder="0" applyAlignment="0" applyProtection="0"/>
  </cellStyleXfs>
  <cellXfs count="607">
    <xf numFmtId="0" fontId="0" fillId="0" borderId="0" xfId="0"/>
    <xf numFmtId="0" fontId="27" fillId="3" borderId="0" xfId="0" applyFont="1" applyFill="1" applyBorder="1" applyAlignment="1">
      <alignment horizontal="justify" vertical="center" wrapText="1"/>
    </xf>
    <xf numFmtId="0" fontId="27" fillId="3" borderId="0" xfId="0" applyFont="1" applyFill="1" applyBorder="1"/>
    <xf numFmtId="0" fontId="5" fillId="0" borderId="0" xfId="0" applyFont="1" applyBorder="1"/>
    <xf numFmtId="0" fontId="28" fillId="0" borderId="0" xfId="0" applyFont="1"/>
    <xf numFmtId="0" fontId="28" fillId="0" borderId="0" xfId="0" applyFont="1" applyFill="1"/>
    <xf numFmtId="0" fontId="8" fillId="0" borderId="0" xfId="0" applyFont="1" applyAlignment="1">
      <alignment horizontal="center"/>
    </xf>
    <xf numFmtId="0" fontId="10" fillId="0" borderId="0" xfId="0" applyFont="1" applyFill="1"/>
    <xf numFmtId="0" fontId="9" fillId="0" borderId="0" xfId="0" applyFont="1" applyAlignment="1">
      <alignment horizontal="left"/>
    </xf>
    <xf numFmtId="0" fontId="2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29" fillId="0" borderId="0" xfId="0" applyFont="1"/>
    <xf numFmtId="0" fontId="29" fillId="0" borderId="0" xfId="0" applyFont="1" applyFill="1"/>
    <xf numFmtId="0" fontId="12" fillId="0" borderId="0" xfId="0" applyFont="1" applyAlignment="1">
      <alignment horizontal="center"/>
    </xf>
    <xf numFmtId="0" fontId="11" fillId="0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76" fontId="29" fillId="0" borderId="2" xfId="0" applyNumberFormat="1" applyFont="1" applyFill="1" applyBorder="1" applyAlignment="1">
      <alignment vertical="center"/>
    </xf>
    <xf numFmtId="176" fontId="29" fillId="0" borderId="3" xfId="0" applyNumberFormat="1" applyFont="1" applyFill="1" applyBorder="1" applyAlignment="1">
      <alignment horizontal="center" vertical="center" wrapText="1"/>
    </xf>
    <xf numFmtId="176" fontId="29" fillId="0" borderId="0" xfId="0" applyNumberFormat="1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justify" vertical="center" wrapText="1"/>
    </xf>
    <xf numFmtId="14" fontId="29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Border="1"/>
    <xf numFmtId="0" fontId="6" fillId="0" borderId="0" xfId="0" applyFont="1"/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31" fillId="0" borderId="0" xfId="0" applyFont="1" applyAlignment="1"/>
    <xf numFmtId="0" fontId="31" fillId="0" borderId="0" xfId="0" applyFont="1" applyFill="1" applyAlignment="1"/>
    <xf numFmtId="0" fontId="32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8" fillId="3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justify" vertical="center" wrapText="1"/>
    </xf>
    <xf numFmtId="0" fontId="34" fillId="0" borderId="0" xfId="0" applyFont="1"/>
    <xf numFmtId="0" fontId="13" fillId="2" borderId="5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3" fillId="0" borderId="0" xfId="0" applyFont="1" applyFill="1" applyAlignment="1"/>
    <xf numFmtId="0" fontId="35" fillId="0" borderId="0" xfId="0" applyFont="1" applyFill="1" applyAlignment="1">
      <alignment horizontal="center"/>
    </xf>
    <xf numFmtId="0" fontId="35" fillId="0" borderId="0" xfId="0" applyFont="1" applyFill="1" applyAlignment="1"/>
    <xf numFmtId="0" fontId="37" fillId="0" borderId="2" xfId="0" applyFont="1" applyFill="1" applyBorder="1" applyAlignment="1">
      <alignment horizontal="justify" vertical="center" wrapText="1"/>
    </xf>
    <xf numFmtId="0" fontId="38" fillId="0" borderId="2" xfId="0" applyFont="1" applyFill="1" applyBorder="1" applyAlignment="1">
      <alignment horizontal="center" vertical="center" wrapText="1"/>
    </xf>
    <xf numFmtId="11" fontId="38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14" fontId="29" fillId="0" borderId="2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justify" vertical="center" wrapText="1"/>
    </xf>
    <xf numFmtId="176" fontId="29" fillId="0" borderId="6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176" fontId="37" fillId="0" borderId="8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37" fillId="0" borderId="10" xfId="0" applyNumberFormat="1" applyFont="1" applyFill="1" applyBorder="1" applyAlignment="1">
      <alignment horizontal="center" vertical="center" wrapText="1"/>
    </xf>
    <xf numFmtId="43" fontId="37" fillId="0" borderId="2" xfId="0" applyNumberFormat="1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justify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9" fillId="0" borderId="0" xfId="0" applyFont="1" applyBorder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0" fillId="0" borderId="0" xfId="0" applyFont="1"/>
    <xf numFmtId="0" fontId="30" fillId="0" borderId="0" xfId="0" applyFont="1"/>
    <xf numFmtId="0" fontId="28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42" fillId="0" borderId="0" xfId="0" applyFont="1" applyAlignment="1"/>
    <xf numFmtId="0" fontId="3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2" fillId="2" borderId="5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7" fillId="0" borderId="2" xfId="10" applyFont="1" applyFill="1" applyBorder="1" applyAlignment="1">
      <alignment horizontal="left" vertical="center" wrapText="1"/>
    </xf>
    <xf numFmtId="0" fontId="37" fillId="0" borderId="10" xfId="10" applyFont="1" applyFill="1" applyBorder="1" applyAlignment="1">
      <alignment horizontal="left" vertical="center" wrapText="1"/>
    </xf>
    <xf numFmtId="0" fontId="37" fillId="0" borderId="10" xfId="10" applyFont="1" applyFill="1" applyBorder="1" applyAlignment="1">
      <alignment horizontal="center" vertical="center"/>
    </xf>
    <xf numFmtId="0" fontId="37" fillId="0" borderId="2" xfId="10" applyFont="1" applyFill="1" applyBorder="1" applyAlignment="1">
      <alignment horizontal="center" vertical="center"/>
    </xf>
    <xf numFmtId="0" fontId="37" fillId="0" borderId="2" xfId="10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7" fillId="0" borderId="0" xfId="1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6" fontId="29" fillId="0" borderId="2" xfId="0" applyNumberFormat="1" applyFont="1" applyFill="1" applyBorder="1" applyAlignment="1">
      <alignment horizontal="center" vertical="center" wrapText="1"/>
    </xf>
    <xf numFmtId="14" fontId="29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justify" vertical="center" wrapText="1"/>
    </xf>
    <xf numFmtId="176" fontId="29" fillId="0" borderId="8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80" fontId="29" fillId="0" borderId="2" xfId="0" applyNumberFormat="1" applyFont="1" applyFill="1" applyBorder="1" applyAlignment="1">
      <alignment horizontal="center" vertical="center" wrapText="1"/>
    </xf>
    <xf numFmtId="180" fontId="37" fillId="0" borderId="10" xfId="1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/>
    <xf numFmtId="0" fontId="27" fillId="0" borderId="0" xfId="0" applyFont="1" applyFill="1" applyBorder="1"/>
    <xf numFmtId="181" fontId="27" fillId="0" borderId="0" xfId="0" applyNumberFormat="1" applyFont="1" applyFill="1" applyBorder="1" applyAlignment="1">
      <alignment vertical="center"/>
    </xf>
    <xf numFmtId="181" fontId="27" fillId="0" borderId="0" xfId="0" applyNumberFormat="1" applyFont="1" applyFill="1" applyBorder="1" applyAlignment="1">
      <alignment horizontal="center" vertical="center"/>
    </xf>
    <xf numFmtId="181" fontId="27" fillId="0" borderId="0" xfId="0" applyNumberFormat="1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5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27" fillId="3" borderId="0" xfId="0" applyNumberFormat="1" applyFont="1" applyFill="1" applyBorder="1" applyAlignment="1">
      <alignment horizontal="center" vertical="center" wrapText="1"/>
    </xf>
    <xf numFmtId="1" fontId="33" fillId="3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1" fontId="27" fillId="3" borderId="0" xfId="0" applyNumberFormat="1" applyFont="1" applyFill="1" applyBorder="1" applyAlignment="1">
      <alignment horizontal="center"/>
    </xf>
    <xf numFmtId="176" fontId="29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1" fontId="44" fillId="0" borderId="0" xfId="0" applyNumberFormat="1" applyFont="1" applyFill="1" applyBorder="1" applyAlignment="1">
      <alignment horizontal="justify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181" fontId="44" fillId="0" borderId="0" xfId="0" applyNumberFormat="1" applyFont="1" applyFill="1" applyBorder="1" applyAlignment="1">
      <alignment vertical="center"/>
    </xf>
    <xf numFmtId="1" fontId="44" fillId="0" borderId="0" xfId="0" applyNumberFormat="1" applyFont="1" applyFill="1" applyBorder="1" applyAlignment="1">
      <alignment horizontal="center" vertical="center"/>
    </xf>
    <xf numFmtId="181" fontId="4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/>
    <xf numFmtId="170" fontId="29" fillId="0" borderId="17" xfId="0" applyNumberFormat="1" applyFont="1" applyFill="1" applyBorder="1"/>
    <xf numFmtId="170" fontId="11" fillId="0" borderId="18" xfId="0" applyNumberFormat="1" applyFont="1" applyFill="1" applyBorder="1"/>
    <xf numFmtId="14" fontId="11" fillId="0" borderId="1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/>
    </xf>
    <xf numFmtId="0" fontId="46" fillId="0" borderId="0" xfId="13" applyFont="1"/>
    <xf numFmtId="0" fontId="47" fillId="0" borderId="0" xfId="13" applyFont="1"/>
    <xf numFmtId="9" fontId="48" fillId="0" borderId="0" xfId="13" applyNumberFormat="1" applyFont="1" applyAlignment="1">
      <alignment horizontal="center" wrapText="1"/>
    </xf>
    <xf numFmtId="0" fontId="48" fillId="0" borderId="0" xfId="13" applyFont="1" applyAlignment="1">
      <alignment horizontal="center" vertical="center"/>
    </xf>
    <xf numFmtId="14" fontId="48" fillId="0" borderId="0" xfId="13" applyNumberFormat="1" applyFont="1" applyAlignment="1">
      <alignment horizontal="center" vertical="center"/>
    </xf>
    <xf numFmtId="14" fontId="48" fillId="0" borderId="0" xfId="13" applyNumberFormat="1" applyFont="1" applyAlignment="1">
      <alignment horizontal="center"/>
    </xf>
    <xf numFmtId="170" fontId="47" fillId="0" borderId="0" xfId="8" applyFont="1"/>
    <xf numFmtId="9" fontId="48" fillId="0" borderId="0" xfId="13" applyNumberFormat="1" applyFont="1" applyAlignment="1">
      <alignment horizontal="center"/>
    </xf>
    <xf numFmtId="9" fontId="48" fillId="0" borderId="0" xfId="13" applyNumberFormat="1" applyFont="1" applyAlignment="1">
      <alignment horizontal="center" vertical="center"/>
    </xf>
    <xf numFmtId="0" fontId="49" fillId="0" borderId="0" xfId="13" applyFont="1"/>
    <xf numFmtId="0" fontId="48" fillId="4" borderId="0" xfId="13" applyFont="1" applyFill="1" applyAlignment="1">
      <alignment horizontal="center"/>
    </xf>
    <xf numFmtId="0" fontId="50" fillId="0" borderId="0" xfId="13" applyFont="1" applyBorder="1" applyAlignment="1">
      <alignment horizontal="center" vertical="center" wrapText="1"/>
    </xf>
    <xf numFmtId="0" fontId="50" fillId="0" borderId="0" xfId="13" applyFont="1" applyAlignment="1">
      <alignment horizontal="center" vertical="center" wrapText="1"/>
    </xf>
    <xf numFmtId="170" fontId="49" fillId="0" borderId="0" xfId="8" applyFont="1" applyAlignment="1"/>
    <xf numFmtId="0" fontId="49" fillId="0" borderId="0" xfId="13" applyFont="1" applyAlignment="1"/>
    <xf numFmtId="170" fontId="49" fillId="0" borderId="0" xfId="8" applyFont="1"/>
    <xf numFmtId="0" fontId="24" fillId="0" borderId="19" xfId="13" applyFont="1" applyFill="1" applyBorder="1" applyAlignment="1">
      <alignment horizontal="center" vertical="center"/>
    </xf>
    <xf numFmtId="183" fontId="24" fillId="0" borderId="19" xfId="13" applyNumberFormat="1" applyFont="1" applyFill="1" applyBorder="1" applyAlignment="1">
      <alignment horizontal="center" vertical="center"/>
    </xf>
    <xf numFmtId="14" fontId="24" fillId="0" borderId="19" xfId="13" applyNumberFormat="1" applyFont="1" applyFill="1" applyBorder="1" applyAlignment="1">
      <alignment horizontal="center" vertical="center"/>
    </xf>
    <xf numFmtId="0" fontId="24" fillId="0" borderId="19" xfId="13" applyNumberFormat="1" applyFont="1" applyFill="1" applyBorder="1" applyAlignment="1">
      <alignment horizontal="center" vertical="center"/>
    </xf>
    <xf numFmtId="170" fontId="24" fillId="0" borderId="19" xfId="13" applyNumberFormat="1" applyFont="1" applyFill="1" applyBorder="1" applyAlignment="1">
      <alignment vertical="center"/>
    </xf>
    <xf numFmtId="184" fontId="24" fillId="0" borderId="19" xfId="13" applyNumberFormat="1" applyFont="1" applyFill="1" applyBorder="1" applyAlignment="1">
      <alignment vertical="center"/>
    </xf>
    <xf numFmtId="0" fontId="51" fillId="0" borderId="0" xfId="13" applyFont="1"/>
    <xf numFmtId="176" fontId="52" fillId="0" borderId="2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/>
    <xf numFmtId="4" fontId="29" fillId="0" borderId="0" xfId="0" applyNumberFormat="1" applyFont="1" applyFill="1" applyBorder="1" applyAlignment="1">
      <alignment horizontal="right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/>
    <xf numFmtId="0" fontId="53" fillId="0" borderId="0" xfId="0" applyFont="1" applyFill="1" applyBorder="1"/>
    <xf numFmtId="174" fontId="27" fillId="0" borderId="0" xfId="6" applyFont="1" applyFill="1" applyBorder="1" applyAlignment="1">
      <alignment horizontal="justify" vertical="center" wrapText="1"/>
    </xf>
    <xf numFmtId="171" fontId="27" fillId="0" borderId="0" xfId="6" applyNumberFormat="1" applyFont="1" applyFill="1" applyBorder="1" applyAlignment="1">
      <alignment horizontal="justify" vertical="center" wrapText="1"/>
    </xf>
    <xf numFmtId="171" fontId="27" fillId="0" borderId="0" xfId="0" applyNumberFormat="1" applyFont="1" applyFill="1" applyBorder="1" applyAlignment="1">
      <alignment horizontal="justify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47" fillId="0" borderId="19" xfId="13" applyFont="1" applyFill="1" applyBorder="1" applyAlignment="1" applyProtection="1">
      <alignment horizontal="center"/>
      <protection locked="0"/>
    </xf>
    <xf numFmtId="14" fontId="55" fillId="0" borderId="2" xfId="0" applyNumberFormat="1" applyFont="1" applyFill="1" applyBorder="1" applyAlignment="1">
      <alignment horizontal="center" vertical="center" wrapText="1"/>
    </xf>
    <xf numFmtId="0" fontId="23" fillId="0" borderId="19" xfId="13" applyFont="1" applyFill="1" applyBorder="1" applyAlignment="1">
      <alignment horizontal="center" vertical="center"/>
    </xf>
    <xf numFmtId="0" fontId="23" fillId="0" borderId="19" xfId="13" quotePrefix="1" applyNumberFormat="1" applyFont="1" applyFill="1" applyBorder="1" applyAlignment="1">
      <alignment horizontal="center" vertical="center"/>
    </xf>
    <xf numFmtId="176" fontId="55" fillId="0" borderId="20" xfId="0" applyNumberFormat="1" applyFont="1" applyFill="1" applyBorder="1" applyAlignment="1">
      <alignment horizontal="center" vertical="center" wrapText="1"/>
    </xf>
    <xf numFmtId="170" fontId="47" fillId="0" borderId="19" xfId="13" applyNumberFormat="1" applyFont="1" applyFill="1" applyBorder="1" applyProtection="1">
      <protection locked="0"/>
    </xf>
    <xf numFmtId="184" fontId="23" fillId="0" borderId="19" xfId="13" applyNumberFormat="1" applyFont="1" applyFill="1" applyBorder="1" applyAlignment="1">
      <alignment vertical="center"/>
    </xf>
    <xf numFmtId="184" fontId="23" fillId="0" borderId="21" xfId="13" applyNumberFormat="1" applyFont="1" applyFill="1" applyBorder="1" applyAlignment="1">
      <alignment vertical="center"/>
    </xf>
    <xf numFmtId="0" fontId="47" fillId="0" borderId="0" xfId="13" applyFont="1" applyFill="1"/>
    <xf numFmtId="0" fontId="54" fillId="0" borderId="20" xfId="10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center" vertical="center" wrapText="1"/>
    </xf>
    <xf numFmtId="180" fontId="55" fillId="0" borderId="2" xfId="0" applyNumberFormat="1" applyFont="1" applyFill="1" applyBorder="1" applyAlignment="1">
      <alignment horizontal="center" vertical="center" wrapText="1"/>
    </xf>
    <xf numFmtId="0" fontId="54" fillId="0" borderId="10" xfId="10" applyFont="1" applyFill="1" applyBorder="1" applyAlignment="1">
      <alignment horizontal="center" vertical="center"/>
    </xf>
    <xf numFmtId="180" fontId="56" fillId="0" borderId="10" xfId="10" applyNumberFormat="1" applyFont="1" applyFill="1" applyBorder="1" applyAlignment="1">
      <alignment horizontal="center" vertical="center" wrapText="1"/>
    </xf>
    <xf numFmtId="43" fontId="56" fillId="0" borderId="20" xfId="0" applyNumberFormat="1" applyFont="1" applyFill="1" applyBorder="1" applyAlignment="1">
      <alignment horizontal="center" vertical="center" wrapText="1"/>
    </xf>
    <xf numFmtId="0" fontId="54" fillId="0" borderId="2" xfId="1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49" fillId="0" borderId="0" xfId="13" applyFont="1" applyFill="1"/>
    <xf numFmtId="0" fontId="25" fillId="0" borderId="22" xfId="0" applyFont="1" applyFill="1" applyBorder="1" applyAlignment="1">
      <alignment horizontal="justify" vertical="center" wrapText="1"/>
    </xf>
    <xf numFmtId="176" fontId="55" fillId="0" borderId="22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justify" vertical="center" wrapText="1"/>
    </xf>
    <xf numFmtId="14" fontId="55" fillId="0" borderId="19" xfId="0" applyNumberFormat="1" applyFont="1" applyFill="1" applyBorder="1" applyAlignment="1">
      <alignment horizontal="center" vertical="center" wrapText="1"/>
    </xf>
    <xf numFmtId="170" fontId="47" fillId="0" borderId="19" xfId="13" applyNumberFormat="1" applyFont="1" applyFill="1" applyBorder="1" applyAlignment="1" applyProtection="1">
      <alignment vertical="center"/>
      <protection locked="0"/>
    </xf>
    <xf numFmtId="0" fontId="51" fillId="0" borderId="19" xfId="13" applyFont="1" applyFill="1" applyBorder="1" applyProtection="1">
      <protection locked="0"/>
    </xf>
    <xf numFmtId="0" fontId="49" fillId="0" borderId="19" xfId="13" applyFont="1" applyFill="1" applyBorder="1" applyProtection="1">
      <protection locked="0"/>
    </xf>
    <xf numFmtId="170" fontId="49" fillId="0" borderId="19" xfId="8" applyFont="1" applyFill="1" applyBorder="1" applyProtection="1">
      <protection locked="0"/>
    </xf>
    <xf numFmtId="176" fontId="52" fillId="0" borderId="23" xfId="0" applyNumberFormat="1" applyFont="1" applyFill="1" applyBorder="1" applyAlignment="1">
      <alignment horizontal="center" vertical="center" wrapText="1"/>
    </xf>
    <xf numFmtId="0" fontId="47" fillId="0" borderId="19" xfId="13" applyFont="1" applyFill="1" applyBorder="1" applyAlignment="1" applyProtection="1">
      <protection locked="0"/>
    </xf>
    <xf numFmtId="0" fontId="51" fillId="0" borderId="0" xfId="13" applyFont="1" applyFill="1"/>
    <xf numFmtId="170" fontId="57" fillId="0" borderId="0" xfId="8" applyFont="1" applyFill="1"/>
    <xf numFmtId="170" fontId="57" fillId="0" borderId="0" xfId="13" applyNumberFormat="1" applyFont="1" applyFill="1"/>
    <xf numFmtId="184" fontId="57" fillId="0" borderId="0" xfId="13" applyNumberFormat="1" applyFont="1" applyFill="1"/>
    <xf numFmtId="170" fontId="49" fillId="0" borderId="0" xfId="8" applyFont="1" applyFill="1"/>
    <xf numFmtId="184" fontId="23" fillId="0" borderId="24" xfId="13" applyNumberFormat="1" applyFont="1" applyFill="1" applyBorder="1" applyAlignment="1">
      <alignment vertical="center"/>
    </xf>
    <xf numFmtId="0" fontId="24" fillId="0" borderId="25" xfId="13" applyFont="1" applyFill="1" applyBorder="1" applyAlignment="1">
      <alignment horizontal="center" vertical="center"/>
    </xf>
    <xf numFmtId="0" fontId="47" fillId="0" borderId="25" xfId="13" applyFont="1" applyFill="1" applyBorder="1" applyAlignment="1" applyProtection="1">
      <protection locked="0"/>
    </xf>
    <xf numFmtId="0" fontId="54" fillId="0" borderId="25" xfId="0" applyFont="1" applyFill="1" applyBorder="1" applyAlignment="1">
      <alignment horizontal="justify" vertical="center" wrapText="1"/>
    </xf>
    <xf numFmtId="0" fontId="47" fillId="0" borderId="25" xfId="13" applyFont="1" applyFill="1" applyBorder="1" applyAlignment="1" applyProtection="1">
      <alignment horizontal="center"/>
      <protection locked="0"/>
    </xf>
    <xf numFmtId="14" fontId="55" fillId="0" borderId="25" xfId="0" applyNumberFormat="1" applyFont="1" applyFill="1" applyBorder="1" applyAlignment="1">
      <alignment horizontal="center" vertical="center" wrapText="1"/>
    </xf>
    <xf numFmtId="183" fontId="24" fillId="0" borderId="25" xfId="13" applyNumberFormat="1" applyFont="1" applyFill="1" applyBorder="1" applyAlignment="1">
      <alignment horizontal="center" vertical="center"/>
    </xf>
    <xf numFmtId="14" fontId="24" fillId="0" borderId="25" xfId="13" applyNumberFormat="1" applyFont="1" applyFill="1" applyBorder="1" applyAlignment="1">
      <alignment horizontal="center" vertical="center"/>
    </xf>
    <xf numFmtId="0" fontId="24" fillId="0" borderId="25" xfId="13" applyNumberFormat="1" applyFont="1" applyFill="1" applyBorder="1" applyAlignment="1">
      <alignment horizontal="center" vertical="center"/>
    </xf>
    <xf numFmtId="0" fontId="23" fillId="0" borderId="25" xfId="13" applyFont="1" applyFill="1" applyBorder="1" applyAlignment="1">
      <alignment horizontal="center" vertical="center"/>
    </xf>
    <xf numFmtId="0" fontId="23" fillId="0" borderId="25" xfId="13" quotePrefix="1" applyNumberFormat="1" applyFont="1" applyFill="1" applyBorder="1" applyAlignment="1">
      <alignment horizontal="center" vertical="center"/>
    </xf>
    <xf numFmtId="176" fontId="55" fillId="0" borderId="26" xfId="0" applyNumberFormat="1" applyFont="1" applyFill="1" applyBorder="1" applyAlignment="1">
      <alignment horizontal="center" vertical="center" wrapText="1"/>
    </xf>
    <xf numFmtId="170" fontId="47" fillId="0" borderId="25" xfId="13" applyNumberFormat="1" applyFont="1" applyFill="1" applyBorder="1" applyAlignment="1" applyProtection="1">
      <alignment vertical="center"/>
      <protection locked="0"/>
    </xf>
    <xf numFmtId="170" fontId="24" fillId="0" borderId="25" xfId="13" applyNumberFormat="1" applyFont="1" applyFill="1" applyBorder="1" applyAlignment="1">
      <alignment vertical="center"/>
    </xf>
    <xf numFmtId="184" fontId="24" fillId="0" borderId="25" xfId="13" applyNumberFormat="1" applyFont="1" applyFill="1" applyBorder="1" applyAlignment="1">
      <alignment vertical="center"/>
    </xf>
    <xf numFmtId="184" fontId="23" fillId="0" borderId="25" xfId="13" applyNumberFormat="1" applyFont="1" applyFill="1" applyBorder="1" applyAlignment="1">
      <alignment vertical="center"/>
    </xf>
    <xf numFmtId="0" fontId="24" fillId="0" borderId="27" xfId="13" applyFont="1" applyFill="1" applyBorder="1" applyAlignment="1">
      <alignment horizontal="center" vertical="center"/>
    </xf>
    <xf numFmtId="0" fontId="47" fillId="0" borderId="27" xfId="13" applyFont="1" applyFill="1" applyBorder="1" applyAlignment="1" applyProtection="1">
      <protection locked="0"/>
    </xf>
    <xf numFmtId="0" fontId="54" fillId="0" borderId="28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7" fillId="0" borderId="27" xfId="13" applyFont="1" applyFill="1" applyBorder="1" applyAlignment="1" applyProtection="1">
      <alignment horizontal="center"/>
      <protection locked="0"/>
    </xf>
    <xf numFmtId="14" fontId="55" fillId="0" borderId="10" xfId="0" applyNumberFormat="1" applyFont="1" applyFill="1" applyBorder="1" applyAlignment="1">
      <alignment horizontal="center" vertical="center" wrapText="1"/>
    </xf>
    <xf numFmtId="183" fontId="24" fillId="0" borderId="27" xfId="13" applyNumberFormat="1" applyFont="1" applyFill="1" applyBorder="1" applyAlignment="1">
      <alignment horizontal="center" vertical="center"/>
    </xf>
    <xf numFmtId="14" fontId="24" fillId="0" borderId="27" xfId="13" applyNumberFormat="1" applyFont="1" applyFill="1" applyBorder="1" applyAlignment="1">
      <alignment horizontal="center" vertical="center"/>
    </xf>
    <xf numFmtId="0" fontId="24" fillId="0" borderId="27" xfId="13" applyNumberFormat="1" applyFont="1" applyFill="1" applyBorder="1" applyAlignment="1">
      <alignment horizontal="center" vertical="center"/>
    </xf>
    <xf numFmtId="0" fontId="23" fillId="0" borderId="27" xfId="13" applyFont="1" applyFill="1" applyBorder="1" applyAlignment="1">
      <alignment horizontal="center" vertical="center"/>
    </xf>
    <xf numFmtId="0" fontId="23" fillId="0" borderId="27" xfId="13" quotePrefix="1" applyNumberFormat="1" applyFont="1" applyFill="1" applyBorder="1" applyAlignment="1">
      <alignment horizontal="center" vertical="center"/>
    </xf>
    <xf numFmtId="176" fontId="55" fillId="0" borderId="28" xfId="0" applyNumberFormat="1" applyFont="1" applyFill="1" applyBorder="1" applyAlignment="1">
      <alignment horizontal="center" vertical="center" wrapText="1"/>
    </xf>
    <xf numFmtId="170" fontId="47" fillId="0" borderId="27" xfId="13" applyNumberFormat="1" applyFont="1" applyFill="1" applyBorder="1" applyProtection="1">
      <protection locked="0"/>
    </xf>
    <xf numFmtId="170" fontId="24" fillId="0" borderId="27" xfId="13" applyNumberFormat="1" applyFont="1" applyFill="1" applyBorder="1" applyAlignment="1">
      <alignment vertical="center"/>
    </xf>
    <xf numFmtId="184" fontId="24" fillId="0" borderId="27" xfId="13" applyNumberFormat="1" applyFont="1" applyFill="1" applyBorder="1" applyAlignment="1">
      <alignment vertical="center"/>
    </xf>
    <xf numFmtId="184" fontId="23" fillId="0" borderId="27" xfId="13" applyNumberFormat="1" applyFont="1" applyFill="1" applyBorder="1" applyAlignment="1">
      <alignment vertical="center"/>
    </xf>
    <xf numFmtId="0" fontId="24" fillId="0" borderId="29" xfId="13" applyFont="1" applyFill="1" applyBorder="1" applyAlignment="1">
      <alignment horizontal="center" vertical="center"/>
    </xf>
    <xf numFmtId="0" fontId="47" fillId="0" borderId="29" xfId="13" applyFont="1" applyFill="1" applyBorder="1" applyAlignment="1" applyProtection="1">
      <protection locked="0"/>
    </xf>
    <xf numFmtId="0" fontId="54" fillId="0" borderId="29" xfId="0" applyFont="1" applyFill="1" applyBorder="1" applyAlignment="1">
      <alignment horizontal="justify" vertical="center" wrapText="1"/>
    </xf>
    <xf numFmtId="176" fontId="52" fillId="0" borderId="29" xfId="0" applyNumberFormat="1" applyFont="1" applyFill="1" applyBorder="1" applyAlignment="1">
      <alignment horizontal="center" vertical="center" wrapText="1"/>
    </xf>
    <xf numFmtId="0" fontId="47" fillId="0" borderId="29" xfId="13" applyFont="1" applyFill="1" applyBorder="1" applyAlignment="1" applyProtection="1">
      <alignment horizontal="center"/>
      <protection locked="0"/>
    </xf>
    <xf numFmtId="14" fontId="55" fillId="0" borderId="29" xfId="0" applyNumberFormat="1" applyFont="1" applyFill="1" applyBorder="1" applyAlignment="1">
      <alignment horizontal="center" vertical="center" wrapText="1"/>
    </xf>
    <xf numFmtId="183" fontId="24" fillId="0" borderId="29" xfId="13" applyNumberFormat="1" applyFont="1" applyFill="1" applyBorder="1" applyAlignment="1">
      <alignment horizontal="center" vertical="center"/>
    </xf>
    <xf numFmtId="14" fontId="24" fillId="0" borderId="29" xfId="13" applyNumberFormat="1" applyFont="1" applyFill="1" applyBorder="1" applyAlignment="1">
      <alignment horizontal="center" vertical="center"/>
    </xf>
    <xf numFmtId="0" fontId="24" fillId="0" borderId="29" xfId="13" applyNumberFormat="1" applyFont="1" applyFill="1" applyBorder="1" applyAlignment="1">
      <alignment horizontal="center" vertical="center"/>
    </xf>
    <xf numFmtId="0" fontId="23" fillId="0" borderId="29" xfId="13" applyFont="1" applyFill="1" applyBorder="1" applyAlignment="1">
      <alignment horizontal="center" vertical="center"/>
    </xf>
    <xf numFmtId="0" fontId="23" fillId="0" borderId="29" xfId="13" quotePrefix="1" applyNumberFormat="1" applyFont="1" applyFill="1" applyBorder="1" applyAlignment="1">
      <alignment horizontal="center" vertical="center"/>
    </xf>
    <xf numFmtId="176" fontId="55" fillId="0" borderId="29" xfId="0" applyNumberFormat="1" applyFont="1" applyFill="1" applyBorder="1" applyAlignment="1">
      <alignment horizontal="center" vertical="center" wrapText="1"/>
    </xf>
    <xf numFmtId="170" fontId="47" fillId="0" borderId="29" xfId="13" applyNumberFormat="1" applyFont="1" applyFill="1" applyBorder="1" applyAlignment="1" applyProtection="1">
      <alignment vertical="center"/>
      <protection locked="0"/>
    </xf>
    <xf numFmtId="170" fontId="24" fillId="0" borderId="29" xfId="13" applyNumberFormat="1" applyFont="1" applyFill="1" applyBorder="1" applyAlignment="1">
      <alignment vertical="center"/>
    </xf>
    <xf numFmtId="184" fontId="24" fillId="0" borderId="29" xfId="13" applyNumberFormat="1" applyFont="1" applyFill="1" applyBorder="1" applyAlignment="1">
      <alignment vertical="center"/>
    </xf>
    <xf numFmtId="184" fontId="23" fillId="0" borderId="29" xfId="13" applyNumberFormat="1" applyFont="1" applyFill="1" applyBorder="1" applyAlignment="1">
      <alignment vertical="center"/>
    </xf>
    <xf numFmtId="0" fontId="24" fillId="0" borderId="30" xfId="13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justify" vertical="center" wrapText="1"/>
    </xf>
    <xf numFmtId="0" fontId="47" fillId="0" borderId="30" xfId="13" applyFont="1" applyFill="1" applyBorder="1" applyAlignment="1" applyProtection="1">
      <alignment horizontal="center"/>
      <protection locked="0"/>
    </xf>
    <xf numFmtId="14" fontId="55" fillId="0" borderId="30" xfId="0" applyNumberFormat="1" applyFont="1" applyFill="1" applyBorder="1" applyAlignment="1">
      <alignment horizontal="center" vertical="center" wrapText="1"/>
    </xf>
    <xf numFmtId="183" fontId="24" fillId="0" borderId="30" xfId="13" applyNumberFormat="1" applyFont="1" applyFill="1" applyBorder="1" applyAlignment="1">
      <alignment horizontal="center" vertical="center"/>
    </xf>
    <xf numFmtId="14" fontId="24" fillId="0" borderId="30" xfId="13" applyNumberFormat="1" applyFont="1" applyFill="1" applyBorder="1" applyAlignment="1">
      <alignment horizontal="center" vertical="center"/>
    </xf>
    <xf numFmtId="0" fontId="24" fillId="0" borderId="30" xfId="13" applyNumberFormat="1" applyFont="1" applyFill="1" applyBorder="1" applyAlignment="1">
      <alignment horizontal="center" vertical="center"/>
    </xf>
    <xf numFmtId="0" fontId="23" fillId="0" borderId="30" xfId="13" applyFont="1" applyFill="1" applyBorder="1" applyAlignment="1">
      <alignment horizontal="center" vertical="center"/>
    </xf>
    <xf numFmtId="0" fontId="23" fillId="0" borderId="30" xfId="13" quotePrefix="1" applyNumberFormat="1" applyFont="1" applyFill="1" applyBorder="1" applyAlignment="1">
      <alignment horizontal="center" vertical="center"/>
    </xf>
    <xf numFmtId="176" fontId="55" fillId="0" borderId="30" xfId="0" applyNumberFormat="1" applyFont="1" applyFill="1" applyBorder="1" applyAlignment="1">
      <alignment horizontal="center" vertical="center" wrapText="1"/>
    </xf>
    <xf numFmtId="170" fontId="47" fillId="0" borderId="30" xfId="13" applyNumberFormat="1" applyFont="1" applyFill="1" applyBorder="1" applyAlignment="1" applyProtection="1">
      <alignment vertical="center"/>
      <protection locked="0"/>
    </xf>
    <xf numFmtId="170" fontId="24" fillId="0" borderId="30" xfId="13" applyNumberFormat="1" applyFont="1" applyFill="1" applyBorder="1" applyAlignment="1">
      <alignment vertical="center"/>
    </xf>
    <xf numFmtId="184" fontId="24" fillId="0" borderId="30" xfId="13" applyNumberFormat="1" applyFont="1" applyFill="1" applyBorder="1" applyAlignment="1">
      <alignment vertical="center"/>
    </xf>
    <xf numFmtId="184" fontId="23" fillId="0" borderId="30" xfId="13" applyNumberFormat="1" applyFont="1" applyFill="1" applyBorder="1" applyAlignment="1">
      <alignment vertical="center"/>
    </xf>
    <xf numFmtId="0" fontId="23" fillId="0" borderId="30" xfId="13" applyFont="1" applyFill="1" applyBorder="1" applyAlignment="1">
      <alignment horizontal="left" vertical="center"/>
    </xf>
    <xf numFmtId="0" fontId="50" fillId="0" borderId="30" xfId="13" applyFont="1" applyFill="1" applyBorder="1" applyAlignment="1" applyProtection="1">
      <alignment horizontal="left"/>
      <protection locked="0"/>
    </xf>
    <xf numFmtId="0" fontId="58" fillId="0" borderId="30" xfId="0" applyFont="1" applyFill="1" applyBorder="1" applyAlignment="1">
      <alignment horizontal="left" vertical="center" wrapText="1"/>
    </xf>
    <xf numFmtId="176" fontId="59" fillId="0" borderId="30" xfId="0" applyNumberFormat="1" applyFont="1" applyFill="1" applyBorder="1" applyAlignment="1">
      <alignment horizontal="left" vertical="center" wrapText="1"/>
    </xf>
    <xf numFmtId="170" fontId="50" fillId="0" borderId="31" xfId="8" applyFont="1" applyBorder="1" applyAlignment="1">
      <alignment horizontal="center" vertical="center" wrapText="1"/>
    </xf>
    <xf numFmtId="0" fontId="50" fillId="0" borderId="32" xfId="13" applyFont="1" applyBorder="1" applyAlignment="1">
      <alignment horizontal="center" vertical="center" wrapText="1"/>
    </xf>
    <xf numFmtId="0" fontId="50" fillId="0" borderId="33" xfId="13" applyFont="1" applyBorder="1" applyAlignment="1">
      <alignment horizontal="center" vertical="center" wrapText="1"/>
    </xf>
    <xf numFmtId="0" fontId="60" fillId="0" borderId="33" xfId="13" applyFont="1" applyBorder="1" applyAlignment="1">
      <alignment horizontal="center" vertical="center" wrapText="1"/>
    </xf>
    <xf numFmtId="0" fontId="50" fillId="0" borderId="34" xfId="13" applyFont="1" applyBorder="1" applyAlignment="1">
      <alignment horizontal="center" vertical="center" wrapText="1"/>
    </xf>
    <xf numFmtId="0" fontId="50" fillId="4" borderId="35" xfId="13" applyFont="1" applyFill="1" applyBorder="1" applyAlignment="1">
      <alignment horizontal="center" vertical="center" wrapText="1"/>
    </xf>
    <xf numFmtId="0" fontId="50" fillId="5" borderId="31" xfId="13" applyFont="1" applyFill="1" applyBorder="1" applyAlignment="1">
      <alignment horizontal="center" vertical="center" wrapText="1"/>
    </xf>
    <xf numFmtId="0" fontId="50" fillId="5" borderId="33" xfId="13" applyFont="1" applyFill="1" applyBorder="1" applyAlignment="1">
      <alignment horizontal="center" vertical="center" wrapText="1"/>
    </xf>
    <xf numFmtId="0" fontId="48" fillId="4" borderId="35" xfId="13" applyFont="1" applyFill="1" applyBorder="1" applyAlignment="1">
      <alignment horizontal="center" vertical="center" wrapText="1"/>
    </xf>
    <xf numFmtId="0" fontId="50" fillId="0" borderId="31" xfId="13" applyFont="1" applyBorder="1" applyAlignment="1">
      <alignment horizontal="center" vertical="center" wrapText="1"/>
    </xf>
    <xf numFmtId="0" fontId="23" fillId="0" borderId="33" xfId="13" applyFont="1" applyBorder="1" applyAlignment="1" applyProtection="1">
      <alignment horizontal="center" vertical="center" wrapText="1"/>
      <protection locked="0"/>
    </xf>
    <xf numFmtId="0" fontId="23" fillId="0" borderId="34" xfId="13" applyFont="1" applyBorder="1" applyAlignment="1" applyProtection="1">
      <alignment horizontal="center" vertical="center" wrapText="1"/>
      <protection locked="0"/>
    </xf>
    <xf numFmtId="0" fontId="48" fillId="4" borderId="35" xfId="13" applyFont="1" applyFill="1" applyBorder="1" applyAlignment="1" applyProtection="1">
      <alignment horizontal="center" vertical="center" wrapText="1"/>
      <protection locked="0"/>
    </xf>
    <xf numFmtId="0" fontId="48" fillId="4" borderId="31" xfId="13" applyFont="1" applyFill="1" applyBorder="1" applyAlignment="1" applyProtection="1">
      <alignment horizontal="center" vertical="center" wrapText="1"/>
      <protection locked="0"/>
    </xf>
    <xf numFmtId="0" fontId="48" fillId="4" borderId="34" xfId="13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/>
    <xf numFmtId="0" fontId="22" fillId="0" borderId="10" xfId="0" applyFont="1" applyFill="1" applyBorder="1" applyAlignment="1">
      <alignment horizontal="center"/>
    </xf>
    <xf numFmtId="14" fontId="4" fillId="0" borderId="27" xfId="0" applyNumberFormat="1" applyFont="1" applyFill="1" applyBorder="1" applyAlignment="1">
      <alignment horizontal="center"/>
    </xf>
    <xf numFmtId="170" fontId="55" fillId="0" borderId="28" xfId="0" applyNumberFormat="1" applyFont="1" applyFill="1" applyBorder="1"/>
    <xf numFmtId="170" fontId="47" fillId="0" borderId="27" xfId="13" applyNumberFormat="1" applyFont="1" applyFill="1" applyBorder="1" applyAlignment="1" applyProtection="1">
      <alignment vertical="center"/>
      <protection locked="0"/>
    </xf>
    <xf numFmtId="184" fontId="23" fillId="0" borderId="36" xfId="13" applyNumberFormat="1" applyFont="1" applyFill="1" applyBorder="1" applyAlignment="1">
      <alignment vertical="center"/>
    </xf>
    <xf numFmtId="0" fontId="50" fillId="0" borderId="37" xfId="13" applyFont="1" applyFill="1" applyBorder="1" applyAlignment="1">
      <alignment horizontal="center" vertical="center" wrapText="1"/>
    </xf>
    <xf numFmtId="0" fontId="60" fillId="0" borderId="37" xfId="13" applyFont="1" applyFill="1" applyBorder="1" applyAlignment="1">
      <alignment horizontal="center" vertical="center" wrapText="1"/>
    </xf>
    <xf numFmtId="0" fontId="48" fillId="0" borderId="37" xfId="13" applyFont="1" applyFill="1" applyBorder="1" applyAlignment="1">
      <alignment horizontal="center" vertical="center" wrapText="1"/>
    </xf>
    <xf numFmtId="170" fontId="50" fillId="0" borderId="37" xfId="8" applyFont="1" applyFill="1" applyBorder="1" applyAlignment="1">
      <alignment horizontal="center" vertical="center" wrapText="1"/>
    </xf>
    <xf numFmtId="0" fontId="23" fillId="0" borderId="37" xfId="13" applyFont="1" applyFill="1" applyBorder="1" applyAlignment="1" applyProtection="1">
      <alignment horizontal="center" vertical="center" wrapText="1"/>
      <protection locked="0"/>
    </xf>
    <xf numFmtId="0" fontId="48" fillId="0" borderId="37" xfId="13" applyFont="1" applyFill="1" applyBorder="1" applyAlignment="1" applyProtection="1">
      <alignment horizontal="center" vertical="center" wrapText="1"/>
      <protection locked="0"/>
    </xf>
    <xf numFmtId="0" fontId="47" fillId="0" borderId="37" xfId="13" applyFont="1" applyFill="1" applyBorder="1"/>
    <xf numFmtId="0" fontId="49" fillId="0" borderId="37" xfId="13" applyFont="1" applyFill="1" applyBorder="1"/>
    <xf numFmtId="0" fontId="50" fillId="0" borderId="0" xfId="13" applyFont="1" applyFill="1" applyBorder="1" applyAlignment="1">
      <alignment horizontal="center" vertical="center" wrapText="1"/>
    </xf>
    <xf numFmtId="0" fontId="48" fillId="0" borderId="0" xfId="13" applyFont="1" applyFill="1" applyBorder="1" applyAlignment="1">
      <alignment horizontal="center" vertical="center" wrapText="1"/>
    </xf>
    <xf numFmtId="170" fontId="50" fillId="0" borderId="0" xfId="8" applyFont="1" applyFill="1" applyBorder="1" applyAlignment="1">
      <alignment horizontal="center" vertical="center" wrapText="1"/>
    </xf>
    <xf numFmtId="0" fontId="23" fillId="0" borderId="0" xfId="13" applyFont="1" applyFill="1" applyBorder="1" applyAlignment="1" applyProtection="1">
      <alignment horizontal="center" vertical="center" wrapText="1"/>
      <protection locked="0"/>
    </xf>
    <xf numFmtId="0" fontId="48" fillId="0" borderId="0" xfId="13" applyFont="1" applyFill="1" applyBorder="1" applyAlignment="1" applyProtection="1">
      <alignment horizontal="center" vertical="center" wrapText="1"/>
      <protection locked="0"/>
    </xf>
    <xf numFmtId="0" fontId="47" fillId="0" borderId="0" xfId="13" applyFont="1" applyFill="1" applyBorder="1"/>
    <xf numFmtId="0" fontId="49" fillId="0" borderId="0" xfId="13" applyFont="1" applyFill="1" applyBorder="1"/>
    <xf numFmtId="0" fontId="50" fillId="0" borderId="38" xfId="13" applyFont="1" applyFill="1" applyBorder="1" applyAlignment="1">
      <alignment horizontal="center" vertical="center" wrapText="1"/>
    </xf>
    <xf numFmtId="0" fontId="60" fillId="0" borderId="38" xfId="13" applyFont="1" applyFill="1" applyBorder="1" applyAlignment="1">
      <alignment horizontal="center" vertical="center" wrapText="1"/>
    </xf>
    <xf numFmtId="0" fontId="48" fillId="0" borderId="38" xfId="13" applyFont="1" applyFill="1" applyBorder="1" applyAlignment="1">
      <alignment horizontal="center" vertical="center" wrapText="1"/>
    </xf>
    <xf numFmtId="170" fontId="50" fillId="0" borderId="38" xfId="8" applyFont="1" applyFill="1" applyBorder="1" applyAlignment="1">
      <alignment horizontal="center" vertical="center" wrapText="1"/>
    </xf>
    <xf numFmtId="0" fontId="23" fillId="0" borderId="38" xfId="13" applyFont="1" applyFill="1" applyBorder="1" applyAlignment="1" applyProtection="1">
      <alignment horizontal="center" vertical="center" wrapText="1"/>
      <protection locked="0"/>
    </xf>
    <xf numFmtId="0" fontId="48" fillId="0" borderId="38" xfId="13" applyFont="1" applyFill="1" applyBorder="1" applyAlignment="1" applyProtection="1">
      <alignment horizontal="center" vertical="center" wrapText="1"/>
      <protection locked="0"/>
    </xf>
    <xf numFmtId="0" fontId="47" fillId="0" borderId="38" xfId="13" applyFont="1" applyFill="1" applyBorder="1"/>
    <xf numFmtId="0" fontId="49" fillId="0" borderId="38" xfId="13" applyFont="1" applyFill="1" applyBorder="1"/>
    <xf numFmtId="176" fontId="32" fillId="0" borderId="0" xfId="0" applyNumberFormat="1" applyFont="1" applyFill="1" applyBorder="1" applyAlignment="1">
      <alignment vertical="center" wrapText="1"/>
    </xf>
    <xf numFmtId="0" fontId="37" fillId="6" borderId="2" xfId="10" applyFont="1" applyFill="1" applyBorder="1" applyAlignment="1">
      <alignment horizontal="left" vertical="center" wrapText="1"/>
    </xf>
    <xf numFmtId="180" fontId="37" fillId="6" borderId="10" xfId="10" applyNumberFormat="1" applyFont="1" applyFill="1" applyBorder="1" applyAlignment="1">
      <alignment horizontal="center" vertical="center" wrapText="1"/>
    </xf>
    <xf numFmtId="0" fontId="37" fillId="6" borderId="10" xfId="10" applyFont="1" applyFill="1" applyBorder="1" applyAlignment="1">
      <alignment horizontal="left" vertical="center" wrapText="1"/>
    </xf>
    <xf numFmtId="0" fontId="37" fillId="6" borderId="10" xfId="10" applyFont="1" applyFill="1" applyBorder="1" applyAlignment="1">
      <alignment horizontal="center" vertical="center"/>
    </xf>
    <xf numFmtId="0" fontId="37" fillId="6" borderId="2" xfId="10" applyFont="1" applyFill="1" applyBorder="1" applyAlignment="1">
      <alignment horizontal="center" vertical="center"/>
    </xf>
    <xf numFmtId="0" fontId="37" fillId="6" borderId="2" xfId="1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justify" vertical="center" wrapText="1"/>
    </xf>
    <xf numFmtId="170" fontId="29" fillId="0" borderId="0" xfId="0" applyNumberFormat="1" applyFont="1" applyFill="1" applyBorder="1"/>
    <xf numFmtId="0" fontId="11" fillId="0" borderId="0" xfId="10" applyFont="1" applyAlignment="1">
      <alignment horizontal="center"/>
    </xf>
    <xf numFmtId="0" fontId="11" fillId="0" borderId="0" xfId="10" applyFont="1"/>
    <xf numFmtId="0" fontId="29" fillId="0" borderId="0" xfId="10" applyFont="1"/>
    <xf numFmtId="0" fontId="29" fillId="0" borderId="0" xfId="10" applyFont="1" applyFill="1"/>
    <xf numFmtId="0" fontId="11" fillId="0" borderId="0" xfId="10" applyFont="1" applyFill="1"/>
    <xf numFmtId="176" fontId="29" fillId="0" borderId="0" xfId="10" applyNumberFormat="1" applyFont="1" applyFill="1" applyBorder="1" applyAlignment="1">
      <alignment horizontal="center" vertical="center" wrapText="1"/>
    </xf>
    <xf numFmtId="0" fontId="5" fillId="0" borderId="0" xfId="10" applyFont="1" applyBorder="1"/>
    <xf numFmtId="0" fontId="8" fillId="0" borderId="0" xfId="10" applyFont="1" applyAlignment="1">
      <alignment horizontal="left"/>
    </xf>
    <xf numFmtId="0" fontId="8" fillId="0" borderId="0" xfId="10" applyFont="1" applyAlignment="1">
      <alignment horizontal="center"/>
    </xf>
    <xf numFmtId="0" fontId="10" fillId="0" borderId="0" xfId="10" applyFont="1"/>
    <xf numFmtId="0" fontId="6" fillId="0" borderId="0" xfId="10" applyFont="1" applyAlignment="1">
      <alignment horizontal="left"/>
    </xf>
    <xf numFmtId="0" fontId="6" fillId="0" borderId="0" xfId="10" applyFont="1" applyAlignment="1">
      <alignment horizontal="center"/>
    </xf>
    <xf numFmtId="0" fontId="28" fillId="0" borderId="0" xfId="10" applyFont="1"/>
    <xf numFmtId="0" fontId="34" fillId="0" borderId="0" xfId="10" applyFont="1"/>
    <xf numFmtId="0" fontId="10" fillId="0" borderId="0" xfId="10" applyFont="1" applyFill="1"/>
    <xf numFmtId="0" fontId="10" fillId="0" borderId="0" xfId="10" applyFont="1" applyBorder="1"/>
    <xf numFmtId="0" fontId="6" fillId="0" borderId="0" xfId="10" applyFont="1"/>
    <xf numFmtId="0" fontId="28" fillId="0" borderId="0" xfId="10" applyFont="1" applyFill="1"/>
    <xf numFmtId="0" fontId="3" fillId="0" borderId="0" xfId="10" applyFont="1" applyAlignment="1">
      <alignment horizontal="center"/>
    </xf>
    <xf numFmtId="0" fontId="10" fillId="0" borderId="0" xfId="10" applyFont="1" applyAlignment="1">
      <alignment horizontal="center"/>
    </xf>
    <xf numFmtId="0" fontId="30" fillId="0" borderId="0" xfId="10" applyFont="1" applyAlignment="1">
      <alignment horizontal="center"/>
    </xf>
    <xf numFmtId="0" fontId="30" fillId="0" borderId="0" xfId="10" applyFont="1" applyFill="1" applyAlignment="1">
      <alignment horizontal="center"/>
    </xf>
    <xf numFmtId="0" fontId="9" fillId="0" borderId="0" xfId="10" applyFont="1" applyAlignment="1">
      <alignment horizontal="left"/>
    </xf>
    <xf numFmtId="0" fontId="7" fillId="0" borderId="0" xfId="10" applyFont="1" applyAlignment="1">
      <alignment horizontal="center"/>
    </xf>
    <xf numFmtId="0" fontId="14" fillId="0" borderId="0" xfId="10" applyFont="1" applyAlignment="1"/>
    <xf numFmtId="0" fontId="15" fillId="0" borderId="0" xfId="10" applyFont="1" applyAlignment="1">
      <alignment horizontal="center"/>
    </xf>
    <xf numFmtId="0" fontId="31" fillId="0" borderId="0" xfId="10" applyFont="1" applyAlignment="1"/>
    <xf numFmtId="0" fontId="31" fillId="0" borderId="0" xfId="10" applyFont="1" applyFill="1" applyAlignment="1"/>
    <xf numFmtId="0" fontId="15" fillId="0" borderId="0" xfId="10" applyFont="1" applyAlignment="1"/>
    <xf numFmtId="0" fontId="12" fillId="0" borderId="0" xfId="10" applyFont="1" applyAlignment="1">
      <alignment horizontal="center"/>
    </xf>
    <xf numFmtId="176" fontId="29" fillId="0" borderId="15" xfId="10" applyNumberFormat="1" applyFont="1" applyFill="1" applyBorder="1" applyAlignment="1">
      <alignment horizontal="center" vertical="center" wrapText="1"/>
    </xf>
    <xf numFmtId="0" fontId="5" fillId="0" borderId="15" xfId="10" applyFont="1" applyBorder="1" applyAlignment="1">
      <alignment horizontal="center" vertical="center" wrapText="1"/>
    </xf>
    <xf numFmtId="0" fontId="13" fillId="2" borderId="5" xfId="10" applyFont="1" applyFill="1" applyBorder="1" applyAlignment="1">
      <alignment horizontal="center" vertical="center" wrapText="1"/>
    </xf>
    <xf numFmtId="0" fontId="13" fillId="2" borderId="1" xfId="10" applyFont="1" applyFill="1" applyBorder="1" applyAlignment="1">
      <alignment horizontal="center" vertical="center" wrapText="1"/>
    </xf>
    <xf numFmtId="0" fontId="32" fillId="2" borderId="1" xfId="10" applyFont="1" applyFill="1" applyBorder="1" applyAlignment="1">
      <alignment horizontal="center" vertical="center" wrapText="1"/>
    </xf>
    <xf numFmtId="0" fontId="13" fillId="2" borderId="4" xfId="10" applyFont="1" applyFill="1" applyBorder="1" applyAlignment="1">
      <alignment horizontal="center" vertical="center" wrapText="1"/>
    </xf>
    <xf numFmtId="0" fontId="2" fillId="0" borderId="0" xfId="10" applyFont="1" applyBorder="1" applyAlignment="1">
      <alignment horizontal="center" vertical="center" wrapText="1"/>
    </xf>
    <xf numFmtId="0" fontId="2" fillId="0" borderId="0" xfId="10" applyFont="1" applyBorder="1"/>
    <xf numFmtId="0" fontId="29" fillId="7" borderId="7" xfId="10" applyFont="1" applyFill="1" applyBorder="1" applyAlignment="1">
      <alignment horizontal="center" vertical="center"/>
    </xf>
    <xf numFmtId="0" fontId="35" fillId="7" borderId="3" xfId="10" applyFont="1" applyFill="1" applyBorder="1" applyAlignment="1">
      <alignment horizontal="center" vertical="center"/>
    </xf>
    <xf numFmtId="14" fontId="29" fillId="7" borderId="3" xfId="10" applyNumberFormat="1" applyFont="1" applyFill="1" applyBorder="1" applyAlignment="1">
      <alignment horizontal="center" vertical="center" wrapText="1"/>
    </xf>
    <xf numFmtId="0" fontId="37" fillId="7" borderId="3" xfId="10" applyFont="1" applyFill="1" applyBorder="1" applyAlignment="1">
      <alignment horizontal="justify" vertical="center" wrapText="1"/>
    </xf>
    <xf numFmtId="0" fontId="37" fillId="7" borderId="3" xfId="10" applyFont="1" applyFill="1" applyBorder="1" applyAlignment="1">
      <alignment horizontal="center" vertical="center" wrapText="1"/>
    </xf>
    <xf numFmtId="176" fontId="29" fillId="7" borderId="3" xfId="10" applyNumberFormat="1" applyFont="1" applyFill="1" applyBorder="1" applyAlignment="1">
      <alignment horizontal="center" vertical="center" wrapText="1"/>
    </xf>
    <xf numFmtId="176" fontId="29" fillId="7" borderId="6" xfId="10" applyNumberFormat="1" applyFont="1" applyFill="1" applyBorder="1" applyAlignment="1">
      <alignment horizontal="center" vertical="center" wrapText="1"/>
    </xf>
    <xf numFmtId="0" fontId="33" fillId="0" borderId="0" xfId="10" applyFont="1" applyFill="1" applyBorder="1"/>
    <xf numFmtId="0" fontId="33" fillId="0" borderId="0" xfId="10" applyFont="1" applyFill="1" applyBorder="1" applyAlignment="1">
      <alignment wrapText="1"/>
    </xf>
    <xf numFmtId="0" fontId="29" fillId="7" borderId="9" xfId="10" applyFont="1" applyFill="1" applyBorder="1" applyAlignment="1">
      <alignment horizontal="center" vertical="center"/>
    </xf>
    <xf numFmtId="0" fontId="35" fillId="7" borderId="2" xfId="10" applyFont="1" applyFill="1" applyBorder="1" applyAlignment="1">
      <alignment horizontal="center" vertical="center"/>
    </xf>
    <xf numFmtId="14" fontId="29" fillId="7" borderId="2" xfId="10" applyNumberFormat="1" applyFont="1" applyFill="1" applyBorder="1" applyAlignment="1">
      <alignment horizontal="center" vertical="center" wrapText="1"/>
    </xf>
    <xf numFmtId="0" fontId="37" fillId="7" borderId="2" xfId="10" applyFont="1" applyFill="1" applyBorder="1" applyAlignment="1">
      <alignment horizontal="justify" vertical="center" wrapText="1"/>
    </xf>
    <xf numFmtId="0" fontId="29" fillId="7" borderId="2" xfId="10" applyFont="1" applyFill="1" applyBorder="1" applyAlignment="1">
      <alignment horizontal="center" vertical="center" wrapText="1"/>
    </xf>
    <xf numFmtId="176" fontId="29" fillId="7" borderId="2" xfId="10" applyNumberFormat="1" applyFont="1" applyFill="1" applyBorder="1" applyAlignment="1">
      <alignment horizontal="center" vertical="center" wrapText="1"/>
    </xf>
    <xf numFmtId="176" fontId="29" fillId="7" borderId="8" xfId="10" applyNumberFormat="1" applyFont="1" applyFill="1" applyBorder="1" applyAlignment="1">
      <alignment horizontal="center" vertical="center" wrapText="1"/>
    </xf>
    <xf numFmtId="0" fontId="27" fillId="0" borderId="0" xfId="10" applyFont="1" applyFill="1" applyBorder="1"/>
    <xf numFmtId="0" fontId="53" fillId="0" borderId="0" xfId="10" applyFont="1" applyFill="1" applyBorder="1"/>
    <xf numFmtId="0" fontId="38" fillId="7" borderId="2" xfId="10" applyFont="1" applyFill="1" applyBorder="1" applyAlignment="1">
      <alignment horizontal="center" vertical="center" wrapText="1"/>
    </xf>
    <xf numFmtId="11" fontId="38" fillId="7" borderId="2" xfId="10" applyNumberFormat="1" applyFont="1" applyFill="1" applyBorder="1" applyAlignment="1">
      <alignment horizontal="center" vertical="center" wrapText="1"/>
    </xf>
    <xf numFmtId="0" fontId="29" fillId="0" borderId="9" xfId="10" applyFont="1" applyFill="1" applyBorder="1" applyAlignment="1">
      <alignment horizontal="center" vertical="center" wrapText="1"/>
    </xf>
    <xf numFmtId="0" fontId="35" fillId="0" borderId="2" xfId="10" applyFont="1" applyFill="1" applyBorder="1" applyAlignment="1">
      <alignment horizontal="center" vertical="center" wrapText="1"/>
    </xf>
    <xf numFmtId="14" fontId="29" fillId="0" borderId="2" xfId="10" applyNumberFormat="1" applyFont="1" applyFill="1" applyBorder="1" applyAlignment="1">
      <alignment horizontal="center" vertical="center" wrapText="1"/>
    </xf>
    <xf numFmtId="0" fontId="37" fillId="0" borderId="2" xfId="10" applyFont="1" applyFill="1" applyBorder="1" applyAlignment="1">
      <alignment horizontal="justify" vertical="center" wrapText="1"/>
    </xf>
    <xf numFmtId="176" fontId="29" fillId="0" borderId="2" xfId="10" applyNumberFormat="1" applyFont="1" applyFill="1" applyBorder="1" applyAlignment="1">
      <alignment vertical="center"/>
    </xf>
    <xf numFmtId="176" fontId="29" fillId="0" borderId="2" xfId="10" applyNumberFormat="1" applyFont="1" applyFill="1" applyBorder="1" applyAlignment="1">
      <alignment horizontal="center" vertical="center" wrapText="1"/>
    </xf>
    <xf numFmtId="176" fontId="29" fillId="0" borderId="8" xfId="10" applyNumberFormat="1" applyFont="1" applyFill="1" applyBorder="1" applyAlignment="1">
      <alignment horizontal="center" vertical="center" wrapText="1"/>
    </xf>
    <xf numFmtId="0" fontId="11" fillId="6" borderId="9" xfId="10" applyFont="1" applyFill="1" applyBorder="1" applyAlignment="1">
      <alignment horizontal="center"/>
    </xf>
    <xf numFmtId="0" fontId="11" fillId="6" borderId="2" xfId="10" applyFont="1" applyFill="1" applyBorder="1" applyAlignment="1">
      <alignment horizontal="center"/>
    </xf>
    <xf numFmtId="14" fontId="11" fillId="6" borderId="2" xfId="10" applyNumberFormat="1" applyFont="1" applyFill="1" applyBorder="1" applyAlignment="1">
      <alignment horizontal="center"/>
    </xf>
    <xf numFmtId="0" fontId="11" fillId="6" borderId="2" xfId="10" applyFont="1" applyFill="1" applyBorder="1"/>
    <xf numFmtId="170" fontId="29" fillId="6" borderId="2" xfId="10" applyNumberFormat="1" applyFont="1" applyFill="1" applyBorder="1"/>
    <xf numFmtId="170" fontId="11" fillId="6" borderId="8" xfId="10" applyNumberFormat="1" applyFont="1" applyFill="1" applyBorder="1"/>
    <xf numFmtId="181" fontId="27" fillId="0" borderId="0" xfId="10" applyNumberFormat="1" applyFont="1" applyFill="1" applyBorder="1" applyAlignment="1">
      <alignment vertical="center"/>
    </xf>
    <xf numFmtId="1" fontId="27" fillId="0" borderId="0" xfId="10" applyNumberFormat="1" applyFont="1" applyFill="1" applyBorder="1" applyAlignment="1">
      <alignment horizontal="center" vertical="center"/>
    </xf>
    <xf numFmtId="181" fontId="27" fillId="0" borderId="0" xfId="10" applyNumberFormat="1" applyFont="1" applyFill="1" applyBorder="1" applyAlignment="1">
      <alignment horizontal="center" vertical="center"/>
    </xf>
    <xf numFmtId="181" fontId="27" fillId="0" borderId="0" xfId="10" applyNumberFormat="1" applyFont="1" applyFill="1" applyBorder="1" applyAlignment="1">
      <alignment horizontal="justify" vertical="center" wrapText="1"/>
    </xf>
    <xf numFmtId="0" fontId="5" fillId="0" borderId="0" xfId="10" applyFont="1" applyFill="1" applyBorder="1"/>
    <xf numFmtId="14" fontId="11" fillId="0" borderId="2" xfId="10" applyNumberFormat="1" applyFont="1" applyFill="1" applyBorder="1" applyAlignment="1">
      <alignment horizontal="center"/>
    </xf>
    <xf numFmtId="170" fontId="5" fillId="0" borderId="0" xfId="10" applyNumberFormat="1" applyFont="1" applyFill="1" applyBorder="1"/>
    <xf numFmtId="0" fontId="28" fillId="6" borderId="2" xfId="10" applyFont="1" applyFill="1" applyBorder="1" applyAlignment="1">
      <alignment horizontal="center" vertical="center" wrapText="1"/>
    </xf>
    <xf numFmtId="0" fontId="29" fillId="6" borderId="2" xfId="10" applyFont="1" applyFill="1" applyBorder="1" applyAlignment="1">
      <alignment horizontal="center" vertical="center" wrapText="1"/>
    </xf>
    <xf numFmtId="14" fontId="29" fillId="6" borderId="2" xfId="10" applyNumberFormat="1" applyFont="1" applyFill="1" applyBorder="1" applyAlignment="1">
      <alignment horizontal="center" vertical="center" wrapText="1"/>
    </xf>
    <xf numFmtId="0" fontId="29" fillId="6" borderId="2" xfId="10" applyNumberFormat="1" applyFont="1" applyFill="1" applyBorder="1" applyAlignment="1">
      <alignment horizontal="center" vertical="center" wrapText="1"/>
    </xf>
    <xf numFmtId="0" fontId="61" fillId="6" borderId="2" xfId="10" applyFont="1" applyFill="1" applyBorder="1" applyAlignment="1">
      <alignment horizontal="justify" vertical="center" wrapText="1"/>
    </xf>
    <xf numFmtId="176" fontId="29" fillId="6" borderId="2" xfId="10" applyNumberFormat="1" applyFont="1" applyFill="1" applyBorder="1" applyAlignment="1">
      <alignment horizontal="center" vertical="center" wrapText="1"/>
    </xf>
    <xf numFmtId="176" fontId="29" fillId="6" borderId="8" xfId="10" applyNumberFormat="1" applyFont="1" applyFill="1" applyBorder="1" applyAlignment="1">
      <alignment horizontal="center" vertical="center" wrapText="1"/>
    </xf>
    <xf numFmtId="4" fontId="29" fillId="0" borderId="0" xfId="10" applyNumberFormat="1" applyFont="1" applyFill="1" applyBorder="1" applyAlignment="1">
      <alignment horizontal="center" vertical="center" wrapText="1"/>
    </xf>
    <xf numFmtId="0" fontId="28" fillId="6" borderId="17" xfId="10" applyFont="1" applyFill="1" applyBorder="1" applyAlignment="1">
      <alignment horizontal="center" vertical="center" wrapText="1"/>
    </xf>
    <xf numFmtId="0" fontId="29" fillId="6" borderId="17" xfId="10" applyFont="1" applyFill="1" applyBorder="1" applyAlignment="1">
      <alignment horizontal="center" vertical="center" wrapText="1"/>
    </xf>
    <xf numFmtId="14" fontId="29" fillId="6" borderId="17" xfId="10" applyNumberFormat="1" applyFont="1" applyFill="1" applyBorder="1" applyAlignment="1">
      <alignment horizontal="center" vertical="center" wrapText="1"/>
    </xf>
    <xf numFmtId="0" fontId="29" fillId="6" borderId="17" xfId="10" applyNumberFormat="1" applyFont="1" applyFill="1" applyBorder="1" applyAlignment="1">
      <alignment horizontal="center" vertical="center" wrapText="1"/>
    </xf>
    <xf numFmtId="0" fontId="61" fillId="6" borderId="17" xfId="10" applyFont="1" applyFill="1" applyBorder="1" applyAlignment="1">
      <alignment horizontal="justify" vertical="center" wrapText="1"/>
    </xf>
    <xf numFmtId="176" fontId="29" fillId="6" borderId="17" xfId="10" applyNumberFormat="1" applyFont="1" applyFill="1" applyBorder="1" applyAlignment="1">
      <alignment horizontal="center" vertical="center" wrapText="1"/>
    </xf>
    <xf numFmtId="170" fontId="29" fillId="6" borderId="17" xfId="10" applyNumberFormat="1" applyFont="1" applyFill="1" applyBorder="1"/>
    <xf numFmtId="176" fontId="29" fillId="6" borderId="18" xfId="10" applyNumberFormat="1" applyFont="1" applyFill="1" applyBorder="1" applyAlignment="1">
      <alignment horizontal="center" vertical="center" wrapText="1"/>
    </xf>
    <xf numFmtId="0" fontId="28" fillId="0" borderId="0" xfId="10" applyFont="1" applyFill="1" applyBorder="1" applyAlignment="1">
      <alignment horizontal="center" vertical="center" wrapText="1"/>
    </xf>
    <xf numFmtId="0" fontId="29" fillId="0" borderId="0" xfId="10" applyFont="1" applyFill="1" applyBorder="1" applyAlignment="1">
      <alignment horizontal="center" vertical="center" wrapText="1"/>
    </xf>
    <xf numFmtId="14" fontId="29" fillId="0" borderId="0" xfId="10" applyNumberFormat="1" applyFont="1" applyFill="1" applyBorder="1" applyAlignment="1">
      <alignment horizontal="center" vertical="center" wrapText="1"/>
    </xf>
    <xf numFmtId="0" fontId="37" fillId="0" borderId="0" xfId="10" applyFont="1" applyFill="1" applyBorder="1" applyAlignment="1">
      <alignment horizontal="justify" vertical="center" wrapText="1"/>
    </xf>
    <xf numFmtId="176" fontId="29" fillId="0" borderId="0" xfId="10" applyNumberFormat="1" applyFont="1" applyFill="1" applyBorder="1" applyAlignment="1">
      <alignment vertical="center"/>
    </xf>
    <xf numFmtId="176" fontId="29" fillId="0" borderId="29" xfId="10" applyNumberFormat="1" applyFont="1" applyFill="1" applyBorder="1" applyAlignment="1">
      <alignment vertical="center"/>
    </xf>
    <xf numFmtId="1" fontId="29" fillId="0" borderId="0" xfId="10" applyNumberFormat="1" applyFont="1" applyFill="1" applyBorder="1" applyAlignment="1">
      <alignment horizontal="center" vertical="center" wrapText="1"/>
    </xf>
    <xf numFmtId="0" fontId="11" fillId="0" borderId="0" xfId="10" applyFont="1" applyFill="1" applyAlignment="1">
      <alignment horizontal="center"/>
    </xf>
    <xf numFmtId="1" fontId="5" fillId="0" borderId="0" xfId="10" applyNumberFormat="1" applyFont="1" applyFill="1" applyBorder="1" applyAlignment="1">
      <alignment horizontal="center"/>
    </xf>
    <xf numFmtId="1" fontId="5" fillId="0" borderId="0" xfId="10" applyNumberFormat="1" applyFont="1" applyBorder="1" applyAlignment="1">
      <alignment horizontal="center"/>
    </xf>
    <xf numFmtId="0" fontId="29" fillId="0" borderId="0" xfId="10" applyFont="1" applyFill="1" applyBorder="1" applyAlignment="1">
      <alignment horizontal="center" vertical="center"/>
    </xf>
    <xf numFmtId="0" fontId="35" fillId="0" borderId="0" xfId="10" applyFont="1" applyFill="1" applyBorder="1" applyAlignment="1">
      <alignment horizontal="center" vertical="center"/>
    </xf>
    <xf numFmtId="0" fontId="37" fillId="0" borderId="0" xfId="10" applyFont="1" applyFill="1" applyBorder="1" applyAlignment="1">
      <alignment horizontal="center" vertical="center" wrapText="1"/>
    </xf>
    <xf numFmtId="0" fontId="27" fillId="3" borderId="0" xfId="10" applyFont="1" applyFill="1" applyBorder="1" applyAlignment="1">
      <alignment horizontal="justify" vertical="center" wrapText="1"/>
    </xf>
    <xf numFmtId="1" fontId="27" fillId="3" borderId="0" xfId="10" applyNumberFormat="1" applyFont="1" applyFill="1" applyBorder="1" applyAlignment="1">
      <alignment horizontal="center" vertical="center" wrapText="1"/>
    </xf>
    <xf numFmtId="0" fontId="28" fillId="3" borderId="0" xfId="10" applyFont="1" applyFill="1" applyBorder="1" applyAlignment="1">
      <alignment horizontal="center" vertical="center" wrapText="1"/>
    </xf>
    <xf numFmtId="0" fontId="36" fillId="0" borderId="0" xfId="10" applyFont="1" applyFill="1" applyBorder="1" applyAlignment="1">
      <alignment vertical="center"/>
    </xf>
    <xf numFmtId="0" fontId="33" fillId="3" borderId="0" xfId="10" applyFont="1" applyFill="1" applyBorder="1" applyAlignment="1">
      <alignment horizontal="justify" vertical="center" wrapText="1"/>
    </xf>
    <xf numFmtId="1" fontId="33" fillId="3" borderId="0" xfId="10" applyNumberFormat="1" applyFont="1" applyFill="1" applyBorder="1" applyAlignment="1">
      <alignment horizontal="center" vertical="center" wrapText="1"/>
    </xf>
    <xf numFmtId="0" fontId="33" fillId="0" borderId="0" xfId="10" applyFont="1" applyFill="1" applyAlignment="1">
      <alignment horizontal="center"/>
    </xf>
    <xf numFmtId="0" fontId="33" fillId="0" borderId="0" xfId="10" applyFont="1" applyFill="1" applyAlignment="1"/>
    <xf numFmtId="0" fontId="35" fillId="0" borderId="0" xfId="10" applyFont="1" applyFill="1" applyAlignment="1">
      <alignment horizontal="center"/>
    </xf>
    <xf numFmtId="0" fontId="35" fillId="0" borderId="0" xfId="10" applyFont="1" applyFill="1" applyAlignment="1"/>
    <xf numFmtId="0" fontId="29" fillId="0" borderId="0" xfId="10" applyFont="1" applyAlignment="1">
      <alignment horizontal="center"/>
    </xf>
    <xf numFmtId="1" fontId="2" fillId="0" borderId="0" xfId="10" applyNumberFormat="1" applyFont="1" applyBorder="1" applyAlignment="1">
      <alignment horizontal="center"/>
    </xf>
    <xf numFmtId="0" fontId="36" fillId="0" borderId="0" xfId="10" applyFont="1" applyAlignment="1">
      <alignment horizontal="left"/>
    </xf>
    <xf numFmtId="0" fontId="36" fillId="0" borderId="0" xfId="10" applyFont="1" applyAlignment="1">
      <alignment horizontal="center"/>
    </xf>
    <xf numFmtId="0" fontId="30" fillId="0" borderId="0" xfId="10" applyFont="1" applyAlignment="1">
      <alignment horizontal="left"/>
    </xf>
    <xf numFmtId="0" fontId="40" fillId="0" borderId="0" xfId="10" applyFont="1"/>
    <xf numFmtId="0" fontId="27" fillId="3" borderId="0" xfId="10" applyFont="1" applyFill="1" applyBorder="1"/>
    <xf numFmtId="1" fontId="27" fillId="3" borderId="0" xfId="10" applyNumberFormat="1" applyFont="1" applyFill="1" applyBorder="1" applyAlignment="1">
      <alignment horizontal="center"/>
    </xf>
    <xf numFmtId="0" fontId="30" fillId="0" borderId="0" xfId="10" applyFont="1"/>
    <xf numFmtId="0" fontId="28" fillId="0" borderId="0" xfId="10" applyFont="1" applyAlignment="1">
      <alignment horizontal="center"/>
    </xf>
    <xf numFmtId="0" fontId="41" fillId="0" borderId="0" xfId="10" applyFont="1" applyAlignment="1">
      <alignment horizontal="left"/>
    </xf>
    <xf numFmtId="0" fontId="33" fillId="0" borderId="0" xfId="10" applyFont="1" applyAlignment="1">
      <alignment horizontal="center"/>
    </xf>
    <xf numFmtId="0" fontId="42" fillId="0" borderId="0" xfId="10" applyFont="1" applyAlignment="1"/>
    <xf numFmtId="0" fontId="31" fillId="0" borderId="0" xfId="10" applyFont="1" applyAlignment="1">
      <alignment horizontal="center"/>
    </xf>
    <xf numFmtId="0" fontId="39" fillId="0" borderId="0" xfId="10" applyFont="1" applyBorder="1"/>
    <xf numFmtId="0" fontId="43" fillId="0" borderId="0" xfId="10" applyFont="1" applyAlignment="1">
      <alignment horizontal="center"/>
    </xf>
    <xf numFmtId="0" fontId="32" fillId="2" borderId="5" xfId="10" applyFont="1" applyFill="1" applyBorder="1" applyAlignment="1">
      <alignment horizontal="center" vertical="center" wrapText="1"/>
    </xf>
    <xf numFmtId="0" fontId="32" fillId="2" borderId="4" xfId="10" applyFont="1" applyFill="1" applyBorder="1" applyAlignment="1">
      <alignment horizontal="center" vertical="center" wrapText="1"/>
    </xf>
    <xf numFmtId="0" fontId="28" fillId="7" borderId="9" xfId="10" applyFont="1" applyFill="1" applyBorder="1" applyAlignment="1">
      <alignment horizontal="center" vertical="center" wrapText="1"/>
    </xf>
    <xf numFmtId="176" fontId="29" fillId="7" borderId="2" xfId="10" applyNumberFormat="1" applyFont="1" applyFill="1" applyBorder="1" applyAlignment="1">
      <alignment vertical="center"/>
    </xf>
    <xf numFmtId="176" fontId="45" fillId="0" borderId="0" xfId="10" applyNumberFormat="1" applyFont="1" applyFill="1" applyBorder="1" applyAlignment="1">
      <alignment horizontal="center" vertical="center" wrapText="1"/>
    </xf>
    <xf numFmtId="181" fontId="44" fillId="0" borderId="0" xfId="10" applyNumberFormat="1" applyFont="1" applyFill="1" applyBorder="1" applyAlignment="1">
      <alignment vertical="center"/>
    </xf>
    <xf numFmtId="1" fontId="44" fillId="0" borderId="0" xfId="10" applyNumberFormat="1" applyFont="1" applyFill="1" applyBorder="1" applyAlignment="1">
      <alignment horizontal="center" vertical="center"/>
    </xf>
    <xf numFmtId="181" fontId="44" fillId="0" borderId="0" xfId="10" applyNumberFormat="1" applyFont="1" applyFill="1" applyBorder="1" applyAlignment="1">
      <alignment horizontal="center" vertical="center"/>
    </xf>
    <xf numFmtId="181" fontId="44" fillId="0" borderId="0" xfId="10" applyNumberFormat="1" applyFont="1" applyFill="1" applyBorder="1" applyAlignment="1">
      <alignment horizontal="justify" vertical="center" wrapText="1"/>
    </xf>
    <xf numFmtId="0" fontId="27" fillId="0" borderId="0" xfId="10" applyFont="1" applyFill="1" applyBorder="1" applyAlignment="1">
      <alignment horizontal="justify" vertical="center" wrapText="1"/>
    </xf>
    <xf numFmtId="4" fontId="27" fillId="0" borderId="0" xfId="10" applyNumberFormat="1" applyFont="1" applyFill="1" applyBorder="1" applyAlignment="1">
      <alignment horizontal="right" vertical="center" wrapText="1"/>
    </xf>
    <xf numFmtId="171" fontId="27" fillId="0" borderId="0" xfId="9" applyNumberFormat="1" applyFont="1" applyFill="1" applyBorder="1" applyAlignment="1">
      <alignment horizontal="justify" vertical="center" wrapText="1"/>
    </xf>
    <xf numFmtId="171" fontId="27" fillId="0" borderId="0" xfId="10" applyNumberFormat="1" applyFont="1" applyFill="1" applyBorder="1" applyAlignment="1">
      <alignment horizontal="justify" vertical="center" wrapText="1"/>
    </xf>
    <xf numFmtId="0" fontId="29" fillId="7" borderId="9" xfId="10" applyFont="1" applyFill="1" applyBorder="1" applyAlignment="1">
      <alignment horizontal="center" vertical="center" wrapText="1"/>
    </xf>
    <xf numFmtId="0" fontId="29" fillId="7" borderId="2" xfId="10" applyFont="1" applyFill="1" applyBorder="1" applyAlignment="1">
      <alignment horizontal="justify" vertical="center" wrapText="1"/>
    </xf>
    <xf numFmtId="0" fontId="29" fillId="7" borderId="2" xfId="10" applyFont="1" applyFill="1" applyBorder="1" applyAlignment="1">
      <alignment horizontal="center" vertical="center"/>
    </xf>
    <xf numFmtId="14" fontId="29" fillId="7" borderId="2" xfId="10" applyNumberFormat="1" applyFont="1" applyFill="1" applyBorder="1" applyAlignment="1">
      <alignment horizontal="left" vertical="center" wrapText="1"/>
    </xf>
    <xf numFmtId="174" fontId="27" fillId="0" borderId="0" xfId="9" applyFont="1" applyFill="1" applyBorder="1" applyAlignment="1">
      <alignment horizontal="justify" vertical="center" wrapText="1"/>
    </xf>
    <xf numFmtId="0" fontId="35" fillId="7" borderId="2" xfId="10" applyFont="1" applyFill="1" applyBorder="1" applyAlignment="1">
      <alignment horizontal="center" vertical="center" wrapText="1"/>
    </xf>
    <xf numFmtId="0" fontId="37" fillId="7" borderId="2" xfId="10" applyFont="1" applyFill="1" applyBorder="1" applyAlignment="1">
      <alignment horizontal="center" vertical="center" wrapText="1"/>
    </xf>
    <xf numFmtId="4" fontId="5" fillId="0" borderId="0" xfId="10" applyNumberFormat="1" applyFont="1" applyFill="1" applyBorder="1" applyAlignment="1">
      <alignment horizontal="right"/>
    </xf>
    <xf numFmtId="0" fontId="29" fillId="8" borderId="9" xfId="10" applyFont="1" applyFill="1" applyBorder="1" applyAlignment="1">
      <alignment horizontal="center" vertical="center"/>
    </xf>
    <xf numFmtId="0" fontId="35" fillId="8" borderId="2" xfId="10" applyFont="1" applyFill="1" applyBorder="1" applyAlignment="1">
      <alignment horizontal="center" vertical="center"/>
    </xf>
    <xf numFmtId="14" fontId="29" fillId="8" borderId="2" xfId="10" applyNumberFormat="1" applyFont="1" applyFill="1" applyBorder="1" applyAlignment="1">
      <alignment horizontal="center" vertical="center" wrapText="1"/>
    </xf>
    <xf numFmtId="0" fontId="37" fillId="8" borderId="2" xfId="10" applyFont="1" applyFill="1" applyBorder="1" applyAlignment="1">
      <alignment horizontal="justify" vertical="center" wrapText="1"/>
    </xf>
    <xf numFmtId="0" fontId="37" fillId="8" borderId="2" xfId="10" applyFont="1" applyFill="1" applyBorder="1" applyAlignment="1">
      <alignment horizontal="center" vertical="center" wrapText="1"/>
    </xf>
    <xf numFmtId="176" fontId="29" fillId="8" borderId="2" xfId="10" applyNumberFormat="1" applyFont="1" applyFill="1" applyBorder="1" applyAlignment="1">
      <alignment horizontal="center" vertical="center" wrapText="1"/>
    </xf>
    <xf numFmtId="176" fontId="29" fillId="8" borderId="8" xfId="10" applyNumberFormat="1" applyFont="1" applyFill="1" applyBorder="1" applyAlignment="1">
      <alignment horizontal="center" vertical="center" wrapText="1"/>
    </xf>
    <xf numFmtId="181" fontId="5" fillId="0" borderId="0" xfId="10" applyNumberFormat="1" applyFont="1" applyFill="1" applyBorder="1"/>
    <xf numFmtId="0" fontId="29" fillId="8" borderId="12" xfId="10" applyFont="1" applyFill="1" applyBorder="1" applyAlignment="1">
      <alignment horizontal="center" vertical="center"/>
    </xf>
    <xf numFmtId="0" fontId="37" fillId="8" borderId="2" xfId="10" applyFont="1" applyFill="1" applyBorder="1" applyAlignment="1">
      <alignment horizontal="left" vertical="center" wrapText="1"/>
    </xf>
    <xf numFmtId="180" fontId="29" fillId="8" borderId="2" xfId="10" applyNumberFormat="1" applyFont="1" applyFill="1" applyBorder="1" applyAlignment="1">
      <alignment horizontal="center" vertical="center" wrapText="1"/>
    </xf>
    <xf numFmtId="0" fontId="29" fillId="8" borderId="2" xfId="10" applyFont="1" applyFill="1" applyBorder="1" applyAlignment="1">
      <alignment horizontal="center" vertical="center" wrapText="1"/>
    </xf>
    <xf numFmtId="0" fontId="29" fillId="8" borderId="13" xfId="10" applyFont="1" applyFill="1" applyBorder="1" applyAlignment="1">
      <alignment horizontal="center" vertical="center"/>
    </xf>
    <xf numFmtId="0" fontId="35" fillId="8" borderId="10" xfId="10" applyFont="1" applyFill="1" applyBorder="1" applyAlignment="1">
      <alignment horizontal="center" vertical="center"/>
    </xf>
    <xf numFmtId="180" fontId="37" fillId="8" borderId="10" xfId="10" applyNumberFormat="1" applyFont="1" applyFill="1" applyBorder="1" applyAlignment="1">
      <alignment horizontal="center" vertical="center" wrapText="1"/>
    </xf>
    <xf numFmtId="0" fontId="29" fillId="8" borderId="10" xfId="10" applyNumberFormat="1" applyFont="1" applyFill="1" applyBorder="1" applyAlignment="1">
      <alignment horizontal="center" vertical="center" wrapText="1"/>
    </xf>
    <xf numFmtId="0" fontId="37" fillId="8" borderId="10" xfId="10" applyFont="1" applyFill="1" applyBorder="1" applyAlignment="1">
      <alignment horizontal="left" vertical="center" wrapText="1"/>
    </xf>
    <xf numFmtId="0" fontId="37" fillId="8" borderId="10" xfId="10" applyFont="1" applyFill="1" applyBorder="1" applyAlignment="1">
      <alignment horizontal="center" vertical="center"/>
    </xf>
    <xf numFmtId="43" fontId="37" fillId="8" borderId="10" xfId="10" applyNumberFormat="1" applyFont="1" applyFill="1" applyBorder="1" applyAlignment="1">
      <alignment horizontal="center" vertical="center" wrapText="1"/>
    </xf>
    <xf numFmtId="0" fontId="29" fillId="8" borderId="2" xfId="10" applyNumberFormat="1" applyFont="1" applyFill="1" applyBorder="1" applyAlignment="1">
      <alignment horizontal="center" vertical="center" wrapText="1"/>
    </xf>
    <xf numFmtId="0" fontId="37" fillId="8" borderId="2" xfId="10" applyFont="1" applyFill="1" applyBorder="1" applyAlignment="1">
      <alignment horizontal="center" vertical="center"/>
    </xf>
    <xf numFmtId="43" fontId="37" fillId="8" borderId="2" xfId="10" applyNumberFormat="1" applyFont="1" applyFill="1" applyBorder="1" applyAlignment="1">
      <alignment horizontal="center" vertical="center" wrapText="1"/>
    </xf>
    <xf numFmtId="4" fontId="29" fillId="0" borderId="0" xfId="10" applyNumberFormat="1" applyFont="1" applyFill="1" applyBorder="1" applyAlignment="1">
      <alignment horizontal="right" vertical="center" wrapText="1"/>
    </xf>
    <xf numFmtId="0" fontId="29" fillId="4" borderId="9" xfId="10" applyFont="1" applyFill="1" applyBorder="1" applyAlignment="1">
      <alignment horizontal="center" vertical="center"/>
    </xf>
    <xf numFmtId="14" fontId="29" fillId="4" borderId="2" xfId="10" applyNumberFormat="1" applyFont="1" applyFill="1" applyBorder="1" applyAlignment="1">
      <alignment horizontal="center" vertical="center" wrapText="1"/>
    </xf>
    <xf numFmtId="180" fontId="29" fillId="4" borderId="2" xfId="10" applyNumberFormat="1" applyFont="1" applyFill="1" applyBorder="1" applyAlignment="1">
      <alignment horizontal="center" vertical="center" wrapText="1"/>
    </xf>
    <xf numFmtId="0" fontId="17" fillId="4" borderId="2" xfId="10" applyFont="1" applyFill="1" applyBorder="1" applyAlignment="1">
      <alignment horizontal="justify" vertical="center" wrapText="1"/>
    </xf>
    <xf numFmtId="0" fontId="11" fillId="4" borderId="2" xfId="10" applyFont="1" applyFill="1" applyBorder="1" applyAlignment="1">
      <alignment horizontal="center" vertical="center" wrapText="1"/>
    </xf>
    <xf numFmtId="0" fontId="18" fillId="4" borderId="2" xfId="10" applyFont="1" applyFill="1" applyBorder="1" applyAlignment="1">
      <alignment horizontal="center" vertical="center" wrapText="1"/>
    </xf>
    <xf numFmtId="176" fontId="29" fillId="4" borderId="2" xfId="10" applyNumberFormat="1" applyFont="1" applyFill="1" applyBorder="1" applyAlignment="1">
      <alignment horizontal="center" vertical="center" wrapText="1"/>
    </xf>
    <xf numFmtId="176" fontId="29" fillId="4" borderId="8" xfId="10" applyNumberFormat="1" applyFont="1" applyFill="1" applyBorder="1" applyAlignment="1">
      <alignment horizontal="center" vertical="center" wrapText="1"/>
    </xf>
    <xf numFmtId="181" fontId="5" fillId="0" borderId="0" xfId="10" applyNumberFormat="1" applyFont="1" applyFill="1" applyBorder="1" applyAlignment="1">
      <alignment vertical="center"/>
    </xf>
    <xf numFmtId="0" fontId="29" fillId="8" borderId="14" xfId="10" applyFont="1" applyFill="1" applyBorder="1" applyAlignment="1">
      <alignment horizontal="center" vertical="center"/>
    </xf>
    <xf numFmtId="0" fontId="17" fillId="8" borderId="2" xfId="10" applyFont="1" applyFill="1" applyBorder="1" applyAlignment="1">
      <alignment horizontal="justify" vertical="center" wrapText="1"/>
    </xf>
    <xf numFmtId="0" fontId="11" fillId="8" borderId="2" xfId="10" applyFont="1" applyFill="1" applyBorder="1" applyAlignment="1">
      <alignment horizontal="center" vertical="center" wrapText="1"/>
    </xf>
    <xf numFmtId="0" fontId="18" fillId="8" borderId="2" xfId="10" applyFont="1" applyFill="1" applyBorder="1" applyAlignment="1">
      <alignment horizontal="center" vertical="center" wrapText="1"/>
    </xf>
    <xf numFmtId="176" fontId="32" fillId="0" borderId="0" xfId="10" applyNumberFormat="1" applyFont="1" applyFill="1" applyBorder="1" applyAlignment="1">
      <alignment vertical="center" wrapText="1"/>
    </xf>
    <xf numFmtId="0" fontId="29" fillId="9" borderId="7" xfId="10" applyFont="1" applyFill="1" applyBorder="1" applyAlignment="1">
      <alignment horizontal="center" vertical="center"/>
    </xf>
    <xf numFmtId="0" fontId="35" fillId="9" borderId="3" xfId="10" applyFont="1" applyFill="1" applyBorder="1" applyAlignment="1">
      <alignment horizontal="center" vertical="center"/>
    </xf>
    <xf numFmtId="14" fontId="29" fillId="9" borderId="3" xfId="10" applyNumberFormat="1" applyFont="1" applyFill="1" applyBorder="1" applyAlignment="1">
      <alignment horizontal="center" vertical="center" wrapText="1"/>
    </xf>
    <xf numFmtId="0" fontId="37" fillId="9" borderId="3" xfId="10" applyFont="1" applyFill="1" applyBorder="1" applyAlignment="1">
      <alignment horizontal="justify" vertical="center" wrapText="1"/>
    </xf>
    <xf numFmtId="0" fontId="37" fillId="9" borderId="3" xfId="10" applyFont="1" applyFill="1" applyBorder="1" applyAlignment="1">
      <alignment horizontal="center" vertical="center" wrapText="1"/>
    </xf>
    <xf numFmtId="176" fontId="29" fillId="9" borderId="3" xfId="10" applyNumberFormat="1" applyFont="1" applyFill="1" applyBorder="1" applyAlignment="1">
      <alignment horizontal="center" vertical="center" wrapText="1"/>
    </xf>
    <xf numFmtId="176" fontId="29" fillId="9" borderId="6" xfId="10" applyNumberFormat="1" applyFont="1" applyFill="1" applyBorder="1" applyAlignment="1">
      <alignment horizontal="center" vertical="center" wrapText="1"/>
    </xf>
    <xf numFmtId="0" fontId="29" fillId="9" borderId="9" xfId="10" applyFont="1" applyFill="1" applyBorder="1" applyAlignment="1">
      <alignment horizontal="center" vertical="center"/>
    </xf>
    <xf numFmtId="0" fontId="35" fillId="9" borderId="2" xfId="10" applyFont="1" applyFill="1" applyBorder="1" applyAlignment="1">
      <alignment horizontal="center" vertical="center"/>
    </xf>
    <xf numFmtId="14" fontId="29" fillId="9" borderId="2" xfId="10" applyNumberFormat="1" applyFont="1" applyFill="1" applyBorder="1" applyAlignment="1">
      <alignment horizontal="center" vertical="center" wrapText="1"/>
    </xf>
    <xf numFmtId="0" fontId="37" fillId="9" borderId="2" xfId="10" applyFont="1" applyFill="1" applyBorder="1" applyAlignment="1">
      <alignment horizontal="justify" vertical="center" wrapText="1"/>
    </xf>
    <xf numFmtId="0" fontId="29" fillId="9" borderId="2" xfId="10" applyFont="1" applyFill="1" applyBorder="1" applyAlignment="1">
      <alignment horizontal="center" vertical="center" wrapText="1"/>
    </xf>
    <xf numFmtId="176" fontId="29" fillId="9" borderId="2" xfId="10" applyNumberFormat="1" applyFont="1" applyFill="1" applyBorder="1" applyAlignment="1">
      <alignment horizontal="center" vertical="center" wrapText="1"/>
    </xf>
    <xf numFmtId="176" fontId="29" fillId="9" borderId="8" xfId="10" applyNumberFormat="1" applyFont="1" applyFill="1" applyBorder="1" applyAlignment="1">
      <alignment horizontal="center" vertical="center" wrapText="1"/>
    </xf>
    <xf numFmtId="0" fontId="38" fillId="9" borderId="2" xfId="10" applyFont="1" applyFill="1" applyBorder="1" applyAlignment="1">
      <alignment horizontal="center" vertical="center" wrapText="1"/>
    </xf>
    <xf numFmtId="11" fontId="38" fillId="9" borderId="2" xfId="10" applyNumberFormat="1" applyFont="1" applyFill="1" applyBorder="1" applyAlignment="1">
      <alignment horizontal="center" vertical="center" wrapText="1"/>
    </xf>
    <xf numFmtId="0" fontId="5" fillId="0" borderId="0" xfId="10" applyFont="1" applyBorder="1" applyAlignment="1">
      <alignment vertical="top"/>
    </xf>
    <xf numFmtId="0" fontId="33" fillId="0" borderId="0" xfId="10" applyFont="1" applyAlignment="1">
      <alignment horizontal="center" vertical="top"/>
    </xf>
    <xf numFmtId="0" fontId="42" fillId="0" borderId="0" xfId="10" applyFont="1" applyAlignment="1">
      <alignment vertical="top"/>
    </xf>
    <xf numFmtId="0" fontId="28" fillId="0" borderId="0" xfId="10" applyFont="1" applyAlignment="1">
      <alignment vertical="top"/>
    </xf>
    <xf numFmtId="0" fontId="31" fillId="0" borderId="0" xfId="10" applyFont="1" applyAlignment="1">
      <alignment horizontal="center" vertical="top"/>
    </xf>
    <xf numFmtId="0" fontId="31" fillId="0" borderId="0" xfId="10" applyFont="1" applyAlignment="1">
      <alignment vertical="top"/>
    </xf>
    <xf numFmtId="0" fontId="31" fillId="0" borderId="0" xfId="10" applyFont="1" applyFill="1" applyAlignment="1">
      <alignment vertical="top"/>
    </xf>
    <xf numFmtId="176" fontId="29" fillId="0" borderId="0" xfId="10" applyNumberFormat="1" applyFont="1" applyFill="1" applyBorder="1" applyAlignment="1">
      <alignment horizontal="center" vertical="top" wrapText="1"/>
    </xf>
    <xf numFmtId="0" fontId="2" fillId="0" borderId="0" xfId="10" applyFont="1" applyBorder="1" applyAlignment="1">
      <alignment horizontal="center" vertical="top" wrapText="1"/>
    </xf>
    <xf numFmtId="0" fontId="2" fillId="0" borderId="0" xfId="10" applyFont="1" applyBorder="1" applyAlignment="1">
      <alignment vertical="top"/>
    </xf>
    <xf numFmtId="0" fontId="41" fillId="0" borderId="0" xfId="10" applyFont="1" applyAlignment="1">
      <alignment horizontal="left" vertical="top"/>
    </xf>
    <xf numFmtId="0" fontId="28" fillId="6" borderId="9" xfId="10" applyFont="1" applyFill="1" applyBorder="1" applyAlignment="1">
      <alignment horizontal="center" vertical="center" wrapText="1"/>
    </xf>
    <xf numFmtId="0" fontId="37" fillId="6" borderId="2" xfId="10" applyFont="1" applyFill="1" applyBorder="1" applyAlignment="1">
      <alignment horizontal="justify" vertical="center" wrapText="1"/>
    </xf>
    <xf numFmtId="176" fontId="29" fillId="6" borderId="2" xfId="10" applyNumberFormat="1" applyFont="1" applyFill="1" applyBorder="1" applyAlignment="1">
      <alignment vertical="center"/>
    </xf>
    <xf numFmtId="0" fontId="29" fillId="6" borderId="9" xfId="10" applyFont="1" applyFill="1" applyBorder="1" applyAlignment="1">
      <alignment horizontal="center" vertical="center" wrapText="1"/>
    </xf>
    <xf numFmtId="0" fontId="29" fillId="6" borderId="2" xfId="10" applyFont="1" applyFill="1" applyBorder="1" applyAlignment="1">
      <alignment horizontal="justify" vertical="center" wrapText="1"/>
    </xf>
    <xf numFmtId="0" fontId="29" fillId="6" borderId="2" xfId="10" applyFont="1" applyFill="1" applyBorder="1" applyAlignment="1">
      <alignment horizontal="center" vertical="center"/>
    </xf>
    <xf numFmtId="14" fontId="29" fillId="6" borderId="2" xfId="10" applyNumberFormat="1" applyFont="1" applyFill="1" applyBorder="1" applyAlignment="1">
      <alignment horizontal="left" vertical="center" wrapText="1"/>
    </xf>
    <xf numFmtId="0" fontId="35" fillId="6" borderId="2" xfId="10" applyFont="1" applyFill="1" applyBorder="1" applyAlignment="1">
      <alignment horizontal="center" vertical="center" wrapText="1"/>
    </xf>
    <xf numFmtId="0" fontId="29" fillId="6" borderId="9" xfId="10" applyFont="1" applyFill="1" applyBorder="1" applyAlignment="1">
      <alignment horizontal="center" vertical="center"/>
    </xf>
    <xf numFmtId="0" fontId="35" fillId="6" borderId="2" xfId="10" applyFont="1" applyFill="1" applyBorder="1" applyAlignment="1">
      <alignment horizontal="center" vertical="center"/>
    </xf>
    <xf numFmtId="0" fontId="29" fillId="6" borderId="12" xfId="10" applyFont="1" applyFill="1" applyBorder="1" applyAlignment="1">
      <alignment horizontal="center" vertical="center"/>
    </xf>
    <xf numFmtId="180" fontId="29" fillId="6" borderId="2" xfId="10" applyNumberFormat="1" applyFont="1" applyFill="1" applyBorder="1" applyAlignment="1">
      <alignment horizontal="center" vertical="center" wrapText="1"/>
    </xf>
    <xf numFmtId="0" fontId="29" fillId="6" borderId="13" xfId="10" applyFont="1" applyFill="1" applyBorder="1" applyAlignment="1">
      <alignment horizontal="center" vertical="center"/>
    </xf>
    <xf numFmtId="0" fontId="35" fillId="6" borderId="10" xfId="10" applyFont="1" applyFill="1" applyBorder="1" applyAlignment="1">
      <alignment horizontal="center" vertical="center"/>
    </xf>
    <xf numFmtId="0" fontId="29" fillId="6" borderId="10" xfId="10" applyNumberFormat="1" applyFont="1" applyFill="1" applyBorder="1" applyAlignment="1">
      <alignment horizontal="center" vertical="center" wrapText="1"/>
    </xf>
    <xf numFmtId="43" fontId="37" fillId="6" borderId="10" xfId="10" applyNumberFormat="1" applyFont="1" applyFill="1" applyBorder="1" applyAlignment="1">
      <alignment horizontal="center" vertical="center" wrapText="1"/>
    </xf>
    <xf numFmtId="43" fontId="37" fillId="6" borderId="2" xfId="10" applyNumberFormat="1" applyFont="1" applyFill="1" applyBorder="1" applyAlignment="1">
      <alignment horizontal="center" vertical="center" wrapText="1"/>
    </xf>
    <xf numFmtId="0" fontId="29" fillId="6" borderId="14" xfId="10" applyFont="1" applyFill="1" applyBorder="1" applyAlignment="1">
      <alignment horizontal="center" vertical="center"/>
    </xf>
    <xf numFmtId="0" fontId="17" fillId="6" borderId="2" xfId="10" applyFont="1" applyFill="1" applyBorder="1" applyAlignment="1">
      <alignment horizontal="justify" vertical="center" wrapText="1"/>
    </xf>
    <xf numFmtId="0" fontId="11" fillId="6" borderId="2" xfId="10" applyFont="1" applyFill="1" applyBorder="1" applyAlignment="1">
      <alignment horizontal="center" vertical="center" wrapText="1"/>
    </xf>
    <xf numFmtId="0" fontId="18" fillId="6" borderId="2" xfId="10" applyFont="1" applyFill="1" applyBorder="1" applyAlignment="1">
      <alignment horizontal="center" vertical="center" wrapText="1"/>
    </xf>
    <xf numFmtId="176" fontId="31" fillId="0" borderId="0" xfId="10" applyNumberFormat="1" applyFont="1" applyAlignment="1">
      <alignment vertical="top"/>
    </xf>
    <xf numFmtId="0" fontId="5" fillId="0" borderId="0" xfId="0" applyFont="1" applyFill="1" applyBorder="1" applyAlignment="1">
      <alignment vertical="center"/>
    </xf>
    <xf numFmtId="14" fontId="11" fillId="0" borderId="2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170" fontId="29" fillId="0" borderId="2" xfId="0" applyNumberFormat="1" applyFont="1" applyFill="1" applyBorder="1" applyAlignment="1">
      <alignment vertical="center"/>
    </xf>
    <xf numFmtId="170" fontId="11" fillId="0" borderId="8" xfId="0" applyNumberFormat="1" applyFont="1" applyFill="1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6" fillId="0" borderId="38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62" fillId="0" borderId="0" xfId="0" applyFont="1" applyAlignment="1">
      <alignment horizontal="center"/>
    </xf>
    <xf numFmtId="0" fontId="5" fillId="0" borderId="0" xfId="10" applyFont="1" applyBorder="1" applyAlignment="1">
      <alignment horizontal="center"/>
    </xf>
    <xf numFmtId="176" fontId="32" fillId="0" borderId="0" xfId="10" applyNumberFormat="1" applyFont="1" applyFill="1" applyBorder="1" applyAlignment="1">
      <alignment horizontal="center" vertical="center" wrapText="1"/>
    </xf>
    <xf numFmtId="0" fontId="33" fillId="0" borderId="0" xfId="10" applyFont="1" applyFill="1" applyAlignment="1">
      <alignment horizontal="center"/>
    </xf>
    <xf numFmtId="0" fontId="3" fillId="0" borderId="0" xfId="10" applyFont="1" applyAlignment="1">
      <alignment horizontal="center"/>
    </xf>
    <xf numFmtId="0" fontId="53" fillId="0" borderId="0" xfId="10" applyFont="1" applyFill="1" applyBorder="1" applyAlignment="1">
      <alignment horizontal="center" vertical="center" wrapText="1"/>
    </xf>
    <xf numFmtId="0" fontId="36" fillId="0" borderId="38" xfId="10" applyFont="1" applyFill="1" applyBorder="1" applyAlignment="1">
      <alignment horizontal="center"/>
    </xf>
    <xf numFmtId="0" fontId="36" fillId="0" borderId="37" xfId="10" applyFont="1" applyFill="1" applyBorder="1" applyAlignment="1">
      <alignment horizontal="center" vertical="center"/>
    </xf>
    <xf numFmtId="0" fontId="62" fillId="0" borderId="0" xfId="10" applyFont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 vertical="center" wrapText="1"/>
    </xf>
    <xf numFmtId="176" fontId="32" fillId="0" borderId="0" xfId="10" applyNumberFormat="1" applyFont="1" applyFill="1" applyBorder="1" applyAlignment="1">
      <alignment horizontal="left" vertical="center" wrapText="1"/>
    </xf>
    <xf numFmtId="0" fontId="63" fillId="0" borderId="0" xfId="13" applyFont="1" applyFill="1" applyAlignment="1">
      <alignment horizontal="justify" vertical="center" wrapText="1"/>
    </xf>
    <xf numFmtId="0" fontId="50" fillId="0" borderId="0" xfId="13" applyFont="1" applyFill="1" applyBorder="1" applyAlignment="1">
      <alignment horizontal="center" vertical="center" wrapText="1"/>
    </xf>
  </cellXfs>
  <cellStyles count="15">
    <cellStyle name="Euro" xfId="1"/>
    <cellStyle name="Euro 2" xfId="2"/>
    <cellStyle name="Euro 3" xfId="3"/>
    <cellStyle name="Euro 3 2" xfId="4"/>
    <cellStyle name="Euro 4" xfId="5"/>
    <cellStyle name="Moneda" xfId="6" builtinId="4"/>
    <cellStyle name="Moneda 2" xfId="7"/>
    <cellStyle name="Moneda 3" xfId="8"/>
    <cellStyle name="Moneda 4" xfId="9"/>
    <cellStyle name="Normal" xfId="0" builtinId="0"/>
    <cellStyle name="Normal 2" xfId="10"/>
    <cellStyle name="Normal 3" xfId="11"/>
    <cellStyle name="Normal 3 2" xfId="12"/>
    <cellStyle name="Normal 4" xfId="13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9</xdr:col>
      <xdr:colOff>1238250</xdr:colOff>
      <xdr:row>47</xdr:row>
      <xdr:rowOff>190500</xdr:rowOff>
    </xdr:to>
    <xdr:pic>
      <xdr:nvPicPr>
        <xdr:cNvPr id="69013" name="Picture 257" descr="PAGINA PARTE INFERI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40450"/>
          <a:ext cx="169830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9</xdr:col>
      <xdr:colOff>1238250</xdr:colOff>
      <xdr:row>104</xdr:row>
      <xdr:rowOff>152400</xdr:rowOff>
    </xdr:to>
    <xdr:pic>
      <xdr:nvPicPr>
        <xdr:cNvPr id="69014" name="Picture 257" descr="PAGINA PARTE INFERI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62525"/>
          <a:ext cx="16983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9</xdr:col>
      <xdr:colOff>1238250</xdr:colOff>
      <xdr:row>53</xdr:row>
      <xdr:rowOff>190500</xdr:rowOff>
    </xdr:to>
    <xdr:pic>
      <xdr:nvPicPr>
        <xdr:cNvPr id="75975" name="Picture 257" descr="PAGINA PARTE INFERI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07800"/>
          <a:ext cx="18849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9</xdr:col>
      <xdr:colOff>1238250</xdr:colOff>
      <xdr:row>107</xdr:row>
      <xdr:rowOff>152400</xdr:rowOff>
    </xdr:to>
    <xdr:pic>
      <xdr:nvPicPr>
        <xdr:cNvPr id="75976" name="Picture 257" descr="PAGINA PARTE INFERI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62825"/>
          <a:ext cx="18849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400050</xdr:colOff>
      <xdr:row>25</xdr:row>
      <xdr:rowOff>838200</xdr:rowOff>
    </xdr:from>
    <xdr:to>
      <xdr:col>24</xdr:col>
      <xdr:colOff>628650</xdr:colOff>
      <xdr:row>34</xdr:row>
      <xdr:rowOff>0</xdr:rowOff>
    </xdr:to>
    <xdr:sp macro="" textlink="">
      <xdr:nvSpPr>
        <xdr:cNvPr id="4" name="Cerrar llave 3"/>
        <xdr:cNvSpPr/>
      </xdr:nvSpPr>
      <xdr:spPr>
        <a:xfrm>
          <a:off x="19554825" y="27155775"/>
          <a:ext cx="990600" cy="4543425"/>
        </a:xfrm>
        <a:prstGeom prst="rightBrace">
          <a:avLst>
            <a:gd name="adj1" fmla="val 8333"/>
            <a:gd name="adj2" fmla="val 4909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  <xdr:twoCellAnchor>
    <xdr:from>
      <xdr:col>23</xdr:col>
      <xdr:colOff>514350</xdr:colOff>
      <xdr:row>65</xdr:row>
      <xdr:rowOff>0</xdr:rowOff>
    </xdr:from>
    <xdr:to>
      <xdr:col>24</xdr:col>
      <xdr:colOff>742950</xdr:colOff>
      <xdr:row>65</xdr:row>
      <xdr:rowOff>0</xdr:rowOff>
    </xdr:to>
    <xdr:sp macro="" textlink="">
      <xdr:nvSpPr>
        <xdr:cNvPr id="5" name="Cerrar llave 4"/>
        <xdr:cNvSpPr/>
      </xdr:nvSpPr>
      <xdr:spPr>
        <a:xfrm>
          <a:off x="19669125" y="31813500"/>
          <a:ext cx="990600" cy="5343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  <xdr:twoCellAnchor>
    <xdr:from>
      <xdr:col>23</xdr:col>
      <xdr:colOff>590550</xdr:colOff>
      <xdr:row>16</xdr:row>
      <xdr:rowOff>57150</xdr:rowOff>
    </xdr:from>
    <xdr:to>
      <xdr:col>24</xdr:col>
      <xdr:colOff>76200</xdr:colOff>
      <xdr:row>19</xdr:row>
      <xdr:rowOff>0</xdr:rowOff>
    </xdr:to>
    <xdr:sp macro="" textlink="">
      <xdr:nvSpPr>
        <xdr:cNvPr id="6" name="Cerrar llave 5"/>
        <xdr:cNvSpPr/>
      </xdr:nvSpPr>
      <xdr:spPr>
        <a:xfrm>
          <a:off x="19745325" y="10010775"/>
          <a:ext cx="247650" cy="1495425"/>
        </a:xfrm>
        <a:prstGeom prst="rightBrace">
          <a:avLst>
            <a:gd name="adj1" fmla="val 10625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  <xdr:twoCellAnchor>
    <xdr:from>
      <xdr:col>23</xdr:col>
      <xdr:colOff>323850</xdr:colOff>
      <xdr:row>9</xdr:row>
      <xdr:rowOff>38100</xdr:rowOff>
    </xdr:from>
    <xdr:to>
      <xdr:col>24</xdr:col>
      <xdr:colOff>228600</xdr:colOff>
      <xdr:row>13</xdr:row>
      <xdr:rowOff>266700</xdr:rowOff>
    </xdr:to>
    <xdr:sp macro="" textlink="">
      <xdr:nvSpPr>
        <xdr:cNvPr id="7" name="Cerrar llave 6"/>
        <xdr:cNvSpPr/>
      </xdr:nvSpPr>
      <xdr:spPr>
        <a:xfrm>
          <a:off x="19478625" y="7381875"/>
          <a:ext cx="666750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  <xdr:twoCellAnchor>
    <xdr:from>
      <xdr:col>23</xdr:col>
      <xdr:colOff>647700</xdr:colOff>
      <xdr:row>65</xdr:row>
      <xdr:rowOff>0</xdr:rowOff>
    </xdr:from>
    <xdr:to>
      <xdr:col>24</xdr:col>
      <xdr:colOff>876300</xdr:colOff>
      <xdr:row>76</xdr:row>
      <xdr:rowOff>304800</xdr:rowOff>
    </xdr:to>
    <xdr:sp macro="" textlink="">
      <xdr:nvSpPr>
        <xdr:cNvPr id="8" name="Cerrar llave 7"/>
        <xdr:cNvSpPr/>
      </xdr:nvSpPr>
      <xdr:spPr>
        <a:xfrm>
          <a:off x="19802475" y="37776150"/>
          <a:ext cx="990600" cy="4981575"/>
        </a:xfrm>
        <a:prstGeom prst="rightBrace">
          <a:avLst>
            <a:gd name="adj1" fmla="val 8333"/>
            <a:gd name="adj2" fmla="val 4315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  <xdr:twoCellAnchor>
    <xdr:from>
      <xdr:col>24</xdr:col>
      <xdr:colOff>0</xdr:colOff>
      <xdr:row>34</xdr:row>
      <xdr:rowOff>114300</xdr:rowOff>
    </xdr:from>
    <xdr:to>
      <xdr:col>24</xdr:col>
      <xdr:colOff>990600</xdr:colOff>
      <xdr:row>42</xdr:row>
      <xdr:rowOff>361950</xdr:rowOff>
    </xdr:to>
    <xdr:sp macro="" textlink="">
      <xdr:nvSpPr>
        <xdr:cNvPr id="10" name="Cerrar llave 9"/>
        <xdr:cNvSpPr/>
      </xdr:nvSpPr>
      <xdr:spPr>
        <a:xfrm>
          <a:off x="19964400" y="19773900"/>
          <a:ext cx="990600" cy="5372100"/>
        </a:xfrm>
        <a:prstGeom prst="rightBrace">
          <a:avLst>
            <a:gd name="adj1" fmla="val 8333"/>
            <a:gd name="adj2" fmla="val 4909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9</xdr:col>
      <xdr:colOff>1238250</xdr:colOff>
      <xdr:row>80</xdr:row>
      <xdr:rowOff>190500</xdr:rowOff>
    </xdr:to>
    <xdr:pic>
      <xdr:nvPicPr>
        <xdr:cNvPr id="73315" name="Picture 257" descr="PAGINA PARTE INFERI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37975"/>
          <a:ext cx="18488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9</xdr:col>
      <xdr:colOff>1238250</xdr:colOff>
      <xdr:row>141</xdr:row>
      <xdr:rowOff>152400</xdr:rowOff>
    </xdr:to>
    <xdr:pic>
      <xdr:nvPicPr>
        <xdr:cNvPr id="73316" name="Picture 257" descr="PAGINA PARTE INFERI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45475"/>
          <a:ext cx="18488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304800</xdr:colOff>
      <xdr:row>36</xdr:row>
      <xdr:rowOff>28575</xdr:rowOff>
    </xdr:from>
    <xdr:to>
      <xdr:col>24</xdr:col>
      <xdr:colOff>476250</xdr:colOff>
      <xdr:row>44</xdr:row>
      <xdr:rowOff>76200</xdr:rowOff>
    </xdr:to>
    <xdr:sp macro="" textlink="">
      <xdr:nvSpPr>
        <xdr:cNvPr id="2" name="Cerrar llave 1"/>
        <xdr:cNvSpPr/>
      </xdr:nvSpPr>
      <xdr:spPr>
        <a:xfrm>
          <a:off x="19507200" y="10963275"/>
          <a:ext cx="933450" cy="4581525"/>
        </a:xfrm>
        <a:prstGeom prst="rightBrace">
          <a:avLst>
            <a:gd name="adj1" fmla="val 8333"/>
            <a:gd name="adj2" fmla="val 4909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  <xdr:twoCellAnchor>
    <xdr:from>
      <xdr:col>23</xdr:col>
      <xdr:colOff>590550</xdr:colOff>
      <xdr:row>24</xdr:row>
      <xdr:rowOff>57150</xdr:rowOff>
    </xdr:from>
    <xdr:to>
      <xdr:col>24</xdr:col>
      <xdr:colOff>76200</xdr:colOff>
      <xdr:row>27</xdr:row>
      <xdr:rowOff>0</xdr:rowOff>
    </xdr:to>
    <xdr:sp macro="" textlink="">
      <xdr:nvSpPr>
        <xdr:cNvPr id="6" name="Cerrar llave 5"/>
        <xdr:cNvSpPr/>
      </xdr:nvSpPr>
      <xdr:spPr>
        <a:xfrm>
          <a:off x="19792950" y="10134600"/>
          <a:ext cx="247650" cy="2552700"/>
        </a:xfrm>
        <a:prstGeom prst="rightBrace">
          <a:avLst>
            <a:gd name="adj1" fmla="val 10625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  <xdr:twoCellAnchor>
    <xdr:from>
      <xdr:col>23</xdr:col>
      <xdr:colOff>323850</xdr:colOff>
      <xdr:row>17</xdr:row>
      <xdr:rowOff>38100</xdr:rowOff>
    </xdr:from>
    <xdr:to>
      <xdr:col>24</xdr:col>
      <xdr:colOff>228600</xdr:colOff>
      <xdr:row>21</xdr:row>
      <xdr:rowOff>266700</xdr:rowOff>
    </xdr:to>
    <xdr:sp macro="" textlink="">
      <xdr:nvSpPr>
        <xdr:cNvPr id="7" name="Cerrar llave 6"/>
        <xdr:cNvSpPr/>
      </xdr:nvSpPr>
      <xdr:spPr>
        <a:xfrm>
          <a:off x="19526250" y="7505700"/>
          <a:ext cx="666750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  <xdr:twoCellAnchor>
    <xdr:from>
      <xdr:col>10</xdr:col>
      <xdr:colOff>0</xdr:colOff>
      <xdr:row>44</xdr:row>
      <xdr:rowOff>57150</xdr:rowOff>
    </xdr:from>
    <xdr:to>
      <xdr:col>10</xdr:col>
      <xdr:colOff>0</xdr:colOff>
      <xdr:row>65</xdr:row>
      <xdr:rowOff>85725</xdr:rowOff>
    </xdr:to>
    <xdr:sp macro="" textlink="">
      <xdr:nvSpPr>
        <xdr:cNvPr id="10" name="Cerrar llave 9"/>
        <xdr:cNvSpPr/>
      </xdr:nvSpPr>
      <xdr:spPr>
        <a:xfrm>
          <a:off x="19469100" y="19221450"/>
          <a:ext cx="381000" cy="12954000"/>
        </a:xfrm>
        <a:prstGeom prst="rightBrace">
          <a:avLst>
            <a:gd name="adj1" fmla="val 10625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9</xdr:col>
      <xdr:colOff>1238250</xdr:colOff>
      <xdr:row>65</xdr:row>
      <xdr:rowOff>152400</xdr:rowOff>
    </xdr:to>
    <xdr:pic>
      <xdr:nvPicPr>
        <xdr:cNvPr id="76930" name="Picture 257" descr="PAGINA PARTE INFERI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60800"/>
          <a:ext cx="18849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400050</xdr:colOff>
      <xdr:row>26</xdr:row>
      <xdr:rowOff>19050</xdr:rowOff>
    </xdr:from>
    <xdr:to>
      <xdr:col>24</xdr:col>
      <xdr:colOff>495300</xdr:colOff>
      <xdr:row>34</xdr:row>
      <xdr:rowOff>0</xdr:rowOff>
    </xdr:to>
    <xdr:sp macro="" textlink="">
      <xdr:nvSpPr>
        <xdr:cNvPr id="3" name="Cerrar llave 2"/>
        <xdr:cNvSpPr/>
      </xdr:nvSpPr>
      <xdr:spPr>
        <a:xfrm>
          <a:off x="19602450" y="12496800"/>
          <a:ext cx="857250" cy="4514850"/>
        </a:xfrm>
        <a:prstGeom prst="rightBrace">
          <a:avLst>
            <a:gd name="adj1" fmla="val 8333"/>
            <a:gd name="adj2" fmla="val 4909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  <xdr:twoCellAnchor>
    <xdr:from>
      <xdr:col>23</xdr:col>
      <xdr:colOff>590550</xdr:colOff>
      <xdr:row>18</xdr:row>
      <xdr:rowOff>57150</xdr:rowOff>
    </xdr:from>
    <xdr:to>
      <xdr:col>24</xdr:col>
      <xdr:colOff>76200</xdr:colOff>
      <xdr:row>19</xdr:row>
      <xdr:rowOff>0</xdr:rowOff>
    </xdr:to>
    <xdr:sp macro="" textlink="">
      <xdr:nvSpPr>
        <xdr:cNvPr id="4" name="Cerrar llave 3"/>
        <xdr:cNvSpPr/>
      </xdr:nvSpPr>
      <xdr:spPr>
        <a:xfrm>
          <a:off x="19745325" y="8105775"/>
          <a:ext cx="247650" cy="419100"/>
        </a:xfrm>
        <a:prstGeom prst="rightBrace">
          <a:avLst>
            <a:gd name="adj1" fmla="val 10625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  <xdr:twoCellAnchor>
    <xdr:from>
      <xdr:col>23</xdr:col>
      <xdr:colOff>323850</xdr:colOff>
      <xdr:row>11</xdr:row>
      <xdr:rowOff>38100</xdr:rowOff>
    </xdr:from>
    <xdr:to>
      <xdr:col>24</xdr:col>
      <xdr:colOff>228600</xdr:colOff>
      <xdr:row>15</xdr:row>
      <xdr:rowOff>266700</xdr:rowOff>
    </xdr:to>
    <xdr:sp macro="" textlink="">
      <xdr:nvSpPr>
        <xdr:cNvPr id="5" name="Cerrar llave 4"/>
        <xdr:cNvSpPr/>
      </xdr:nvSpPr>
      <xdr:spPr>
        <a:xfrm>
          <a:off x="19478625" y="5476875"/>
          <a:ext cx="666750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  <xdr:twoCellAnchor>
    <xdr:from>
      <xdr:col>23</xdr:col>
      <xdr:colOff>419100</xdr:colOff>
      <xdr:row>34</xdr:row>
      <xdr:rowOff>38100</xdr:rowOff>
    </xdr:from>
    <xdr:to>
      <xdr:col>24</xdr:col>
      <xdr:colOff>647700</xdr:colOff>
      <xdr:row>54</xdr:row>
      <xdr:rowOff>304800</xdr:rowOff>
    </xdr:to>
    <xdr:sp macro="" textlink="">
      <xdr:nvSpPr>
        <xdr:cNvPr id="6" name="Cerrar llave 5"/>
        <xdr:cNvSpPr/>
      </xdr:nvSpPr>
      <xdr:spPr>
        <a:xfrm>
          <a:off x="19573875" y="15611475"/>
          <a:ext cx="990600" cy="10401300"/>
        </a:xfrm>
        <a:prstGeom prst="rightBrace">
          <a:avLst>
            <a:gd name="adj1" fmla="val 8333"/>
            <a:gd name="adj2" fmla="val 4315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SV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meza/Desktop/Bienes%20mayores%20a%20$20%20mil%20AL%2031%20%20de%20juLio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taura/AppData/Local/Microsoft/Windows/Temporary%20Internet%20Files/Content.Outlook/VPL9J7E3/Bienes%20mayores%20a%20$20%20mil%20AL%2030%20%20de%20juLio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taura/AppData/Local/Microsoft/Windows/Temporary%20Internet%20Files/Content.Outlook/VPL9J7E3/Bienes%20mayores%20a%20$20%20mil%20AL%2030%20DICIEMBRE%20DE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taura/AppData/Local/Microsoft/Windows/Temporary%20Internet%20Files/Content.Outlook/VPL9J7E3/Bienes%20mayores%20a%20$20%20mil%20AL%2030%20DE%20SEPTIEMBRE%20DE%202017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2017"/>
      <sheetName val="JULIO"/>
      <sheetName val="Depreciación ORIGINAL "/>
    </sheetNames>
    <sheetDataSet>
      <sheetData sheetId="0"/>
      <sheetData sheetId="1">
        <row r="68">
          <cell r="I68">
            <v>114861.09</v>
          </cell>
        </row>
        <row r="70">
          <cell r="I70">
            <v>115923.61</v>
          </cell>
        </row>
        <row r="72">
          <cell r="I72">
            <v>128506.84</v>
          </cell>
        </row>
        <row r="73">
          <cell r="I73">
            <v>128506.84</v>
          </cell>
        </row>
        <row r="74">
          <cell r="I74">
            <v>119189.79</v>
          </cell>
        </row>
        <row r="75">
          <cell r="I75">
            <v>119189.79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2017"/>
      <sheetName val="JULIO"/>
      <sheetName val="Depreciación ORIGINAL "/>
    </sheetNames>
    <sheetDataSet>
      <sheetData sheetId="0"/>
      <sheetData sheetId="1"/>
      <sheetData sheetId="2">
        <row r="7">
          <cell r="V7">
            <v>1697.3107199999997</v>
          </cell>
        </row>
        <row r="8">
          <cell r="V8">
            <v>1457.5339726027398</v>
          </cell>
        </row>
        <row r="9">
          <cell r="V9">
            <v>1457.5339726027398</v>
          </cell>
        </row>
        <row r="12">
          <cell r="V12">
            <v>35293.903126027399</v>
          </cell>
        </row>
        <row r="13">
          <cell r="V13">
            <v>26293.265753424657</v>
          </cell>
        </row>
        <row r="14">
          <cell r="V14">
            <v>26293.265753424657</v>
          </cell>
        </row>
        <row r="15">
          <cell r="V15">
            <v>21403.663150684937</v>
          </cell>
        </row>
        <row r="16">
          <cell r="V16">
            <v>21403.663150684937</v>
          </cell>
        </row>
        <row r="17">
          <cell r="V17">
            <v>7434.4746575342469</v>
          </cell>
        </row>
        <row r="18">
          <cell r="V18">
            <v>7434.4746575342469</v>
          </cell>
        </row>
        <row r="19">
          <cell r="V19">
            <v>29950.001506849316</v>
          </cell>
        </row>
        <row r="20">
          <cell r="V20">
            <v>29950.001506849316</v>
          </cell>
        </row>
        <row r="21">
          <cell r="V21">
            <v>5850.0160915068491</v>
          </cell>
        </row>
        <row r="22">
          <cell r="V22">
            <v>6355.5573698630133</v>
          </cell>
        </row>
        <row r="23">
          <cell r="V23">
            <v>6355.5573698630133</v>
          </cell>
        </row>
        <row r="24">
          <cell r="V24">
            <v>6355.5573698630133</v>
          </cell>
        </row>
        <row r="25">
          <cell r="V25">
            <v>6355.5573698630133</v>
          </cell>
        </row>
        <row r="26">
          <cell r="V26">
            <v>6355.5573698630133</v>
          </cell>
        </row>
        <row r="27">
          <cell r="V27">
            <v>6355.5573698630133</v>
          </cell>
        </row>
        <row r="28">
          <cell r="V28">
            <v>6355.5573698630133</v>
          </cell>
        </row>
        <row r="29">
          <cell r="V29">
            <v>6355.5573698630133</v>
          </cell>
        </row>
        <row r="30">
          <cell r="V30">
            <v>7569.2860273972592</v>
          </cell>
        </row>
        <row r="31">
          <cell r="V31">
            <v>7569.2860273972592</v>
          </cell>
        </row>
        <row r="32">
          <cell r="V32">
            <v>7569.2860273972592</v>
          </cell>
        </row>
        <row r="33">
          <cell r="V33">
            <v>7569.2860273972592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2017"/>
      <sheetName val="Diciembre"/>
      <sheetName val="Depreciación ORIGINAL "/>
    </sheetNames>
    <sheetDataSet>
      <sheetData sheetId="0"/>
      <sheetData sheetId="1"/>
      <sheetData sheetId="2">
        <row r="7">
          <cell r="V7">
            <v>2051.885904657534</v>
          </cell>
        </row>
        <row r="12">
          <cell r="V12">
            <v>39012.259068493149</v>
          </cell>
        </row>
        <row r="13">
          <cell r="V13">
            <v>29475.585616438355</v>
          </cell>
        </row>
        <row r="14">
          <cell r="V14">
            <v>29475.585616438355</v>
          </cell>
        </row>
        <row r="15">
          <cell r="V15">
            <v>24068.200808219182</v>
          </cell>
        </row>
        <row r="16">
          <cell r="V16">
            <v>24068.200808219182</v>
          </cell>
        </row>
        <row r="17">
          <cell r="V17">
            <v>8359.9908904109598</v>
          </cell>
        </row>
        <row r="18">
          <cell r="V18">
            <v>8359.9908904109598</v>
          </cell>
        </row>
        <row r="19">
          <cell r="V19">
            <v>33678.471082191783</v>
          </cell>
        </row>
        <row r="20">
          <cell r="V20">
            <v>33678.471082191783</v>
          </cell>
        </row>
        <row r="22">
          <cell r="V22">
            <v>7310.4563835616436</v>
          </cell>
        </row>
        <row r="23">
          <cell r="V23">
            <v>7310.4563835616436</v>
          </cell>
        </row>
        <row r="24">
          <cell r="V24">
            <v>7310.4563835616436</v>
          </cell>
        </row>
        <row r="25">
          <cell r="V25">
            <v>7310.4563835616436</v>
          </cell>
        </row>
        <row r="26">
          <cell r="V26">
            <v>7310.4563835616436</v>
          </cell>
        </row>
        <row r="27">
          <cell r="V27">
            <v>7310.4563835616436</v>
          </cell>
        </row>
        <row r="28">
          <cell r="V28">
            <v>7310.4563835616436</v>
          </cell>
        </row>
        <row r="29">
          <cell r="V29">
            <v>7310.4563835616436</v>
          </cell>
        </row>
        <row r="30">
          <cell r="V30">
            <v>8706.5432876712312</v>
          </cell>
        </row>
        <row r="31">
          <cell r="V31">
            <v>8706.5432876712312</v>
          </cell>
        </row>
        <row r="32">
          <cell r="V32">
            <v>8706.5432876712312</v>
          </cell>
        </row>
        <row r="33">
          <cell r="V33">
            <v>8706.5432876712312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2017"/>
      <sheetName val="septiembre"/>
      <sheetName val="Depreciación ORIGINAL "/>
    </sheetNames>
    <sheetDataSet>
      <sheetData sheetId="0"/>
      <sheetData sheetId="1">
        <row r="69">
          <cell r="I69">
            <v>28055.205493150686</v>
          </cell>
        </row>
        <row r="71">
          <cell r="I71">
            <v>5870.2808219178078</v>
          </cell>
        </row>
        <row r="73">
          <cell r="I73">
            <v>5870.2808219178078</v>
          </cell>
        </row>
        <row r="74">
          <cell r="I74">
            <v>5870.2808219178078</v>
          </cell>
        </row>
        <row r="75">
          <cell r="I75">
            <v>5870.2808219178078</v>
          </cell>
        </row>
        <row r="76">
          <cell r="I76">
            <v>5870.2808219178078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06"/>
  <sheetViews>
    <sheetView topLeftCell="A7" zoomScale="50" zoomScaleNormal="50" zoomScalePageLayoutView="75" workbookViewId="0">
      <pane ySplit="11" topLeftCell="A18" activePane="bottomLeft" state="frozen"/>
      <selection activeCell="D7" sqref="D7"/>
      <selection pane="bottomLeft" activeCell="N25" sqref="N25"/>
    </sheetView>
  </sheetViews>
  <sheetFormatPr baseColWidth="10" defaultRowHeight="21.75" x14ac:dyDescent="0.3"/>
  <cols>
    <col min="1" max="1" width="21.140625" style="10" customWidth="1"/>
    <col min="2" max="2" width="28" style="10" hidden="1" customWidth="1"/>
    <col min="3" max="3" width="21.5703125" style="11" customWidth="1"/>
    <col min="4" max="4" width="25.28515625" style="11" customWidth="1"/>
    <col min="5" max="5" width="49.140625" style="11" customWidth="1"/>
    <col min="6" max="6" width="27.28515625" style="10" customWidth="1"/>
    <col min="7" max="7" width="33.28515625" style="10" customWidth="1"/>
    <col min="8" max="8" width="27.140625" style="12" customWidth="1"/>
    <col min="9" max="9" width="31.28515625" style="13" customWidth="1"/>
    <col min="10" max="10" width="23.140625" style="15" customWidth="1"/>
    <col min="11" max="13" width="20.7109375" style="112" customWidth="1"/>
    <col min="14" max="15" width="20.7109375" style="3" customWidth="1"/>
    <col min="16" max="17" width="23.42578125" style="3" customWidth="1"/>
    <col min="18" max="18" width="21.28515625" style="3" customWidth="1"/>
    <col min="19" max="30" width="11.42578125" style="3" customWidth="1"/>
    <col min="31" max="16384" width="11.42578125" style="3"/>
  </cols>
  <sheetData>
    <row r="6" spans="1:18" ht="30.75" customHeight="1" x14ac:dyDescent="0.3"/>
    <row r="7" spans="1:18" s="27" customFormat="1" ht="24.95" customHeight="1" x14ac:dyDescent="0.35">
      <c r="A7" s="23" t="s">
        <v>4</v>
      </c>
      <c r="B7" s="6"/>
      <c r="C7" s="24"/>
      <c r="D7" s="24"/>
      <c r="E7" s="25"/>
      <c r="F7" s="26"/>
      <c r="G7" s="26"/>
      <c r="H7" s="4"/>
      <c r="I7" s="42"/>
      <c r="J7" s="7"/>
      <c r="K7" s="112"/>
      <c r="L7" s="112"/>
      <c r="M7" s="112"/>
    </row>
    <row r="8" spans="1:18" s="27" customFormat="1" ht="24.95" customHeight="1" x14ac:dyDescent="0.35">
      <c r="A8" s="23" t="s">
        <v>5</v>
      </c>
      <c r="B8" s="6"/>
      <c r="C8" s="24"/>
      <c r="D8" s="24"/>
      <c r="E8" s="28"/>
      <c r="F8" s="26"/>
      <c r="G8" s="26"/>
      <c r="H8" s="4"/>
      <c r="I8" s="5"/>
      <c r="J8" s="7"/>
      <c r="K8" s="112"/>
      <c r="L8" s="112"/>
      <c r="M8" s="112"/>
    </row>
    <row r="9" spans="1:18" s="27" customFormat="1" ht="23.25" x14ac:dyDescent="0.35">
      <c r="A9" s="6"/>
      <c r="B9" s="6"/>
      <c r="C9" s="24"/>
      <c r="D9" s="24"/>
      <c r="E9" s="28"/>
      <c r="F9" s="26"/>
      <c r="G9" s="26"/>
      <c r="H9" s="4"/>
      <c r="I9" s="5"/>
      <c r="J9" s="7"/>
      <c r="K9" s="112"/>
      <c r="L9" s="112"/>
      <c r="M9" s="112"/>
    </row>
    <row r="10" spans="1:18" s="27" customFormat="1" ht="30" customHeight="1" x14ac:dyDescent="0.35">
      <c r="A10" s="587" t="s">
        <v>82</v>
      </c>
      <c r="B10" s="587"/>
      <c r="C10" s="587"/>
      <c r="D10" s="587"/>
      <c r="E10" s="587"/>
      <c r="F10" s="587"/>
      <c r="G10" s="587"/>
      <c r="H10" s="587"/>
      <c r="I10" s="587"/>
      <c r="J10" s="587"/>
      <c r="K10" s="112"/>
      <c r="L10" s="112"/>
      <c r="M10" s="112"/>
    </row>
    <row r="11" spans="1:18" s="27" customFormat="1" ht="30" customHeight="1" x14ac:dyDescent="0.35">
      <c r="A11" s="587" t="s">
        <v>10</v>
      </c>
      <c r="B11" s="587"/>
      <c r="C11" s="587"/>
      <c r="D11" s="587"/>
      <c r="E11" s="587"/>
      <c r="F11" s="587"/>
      <c r="G11" s="587"/>
      <c r="H11" s="587"/>
      <c r="I11" s="587"/>
      <c r="J11" s="587"/>
      <c r="K11" s="112"/>
      <c r="L11" s="112"/>
      <c r="M11" s="112"/>
    </row>
    <row r="12" spans="1:18" s="27" customFormat="1" ht="30" customHeight="1" x14ac:dyDescent="0.3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112"/>
      <c r="L12" s="112"/>
      <c r="M12" s="112"/>
    </row>
    <row r="13" spans="1:18" s="27" customFormat="1" ht="23.25" x14ac:dyDescent="0.35">
      <c r="A13" s="6"/>
      <c r="B13" s="6"/>
      <c r="C13" s="29"/>
      <c r="D13" s="29"/>
      <c r="E13" s="26"/>
      <c r="F13" s="26"/>
      <c r="G13" s="26"/>
      <c r="H13" s="30"/>
      <c r="I13" s="31"/>
      <c r="J13" s="26"/>
      <c r="K13" s="112"/>
      <c r="L13" s="112"/>
      <c r="M13" s="112"/>
    </row>
    <row r="14" spans="1:18" s="27" customFormat="1" ht="41.25" customHeight="1" x14ac:dyDescent="0.35">
      <c r="A14" s="8" t="s">
        <v>3</v>
      </c>
      <c r="B14" s="39"/>
      <c r="C14" s="32"/>
      <c r="D14" s="32"/>
      <c r="E14" s="24"/>
      <c r="F14" s="34"/>
      <c r="G14" s="34"/>
      <c r="H14" s="35"/>
      <c r="I14" s="36"/>
      <c r="J14" s="33"/>
      <c r="K14" s="112"/>
      <c r="L14" s="112"/>
      <c r="M14" s="112"/>
    </row>
    <row r="15" spans="1:18" s="27" customFormat="1" ht="41.25" customHeight="1" thickBot="1" x14ac:dyDescent="0.4">
      <c r="A15" s="8"/>
      <c r="B15" s="39"/>
      <c r="C15" s="32"/>
      <c r="D15" s="32"/>
      <c r="E15" s="24"/>
      <c r="F15" s="34"/>
      <c r="G15" s="34"/>
      <c r="H15" s="35"/>
      <c r="I15" s="36"/>
      <c r="J15" s="33"/>
      <c r="K15" s="112"/>
      <c r="L15" s="112"/>
      <c r="M15" s="112"/>
    </row>
    <row r="16" spans="1:18" ht="67.5" customHeight="1" thickBot="1" x14ac:dyDescent="0.35">
      <c r="F16" s="14"/>
      <c r="G16" s="14"/>
      <c r="K16" s="131"/>
      <c r="L16" s="131"/>
      <c r="M16" s="131"/>
      <c r="N16" s="132" t="s">
        <v>85</v>
      </c>
      <c r="O16" s="132" t="s">
        <v>84</v>
      </c>
      <c r="P16" s="132" t="s">
        <v>78</v>
      </c>
      <c r="Q16" s="132" t="s">
        <v>79</v>
      </c>
      <c r="R16" s="132" t="s">
        <v>44</v>
      </c>
    </row>
    <row r="17" spans="1:18" s="9" customFormat="1" ht="102.75" customHeight="1" thickTop="1" thickBot="1" x14ac:dyDescent="0.35">
      <c r="A17" s="43" t="s">
        <v>6</v>
      </c>
      <c r="B17" s="16" t="s">
        <v>0</v>
      </c>
      <c r="C17" s="16" t="s">
        <v>11</v>
      </c>
      <c r="D17" s="16" t="s">
        <v>45</v>
      </c>
      <c r="E17" s="16" t="s">
        <v>1</v>
      </c>
      <c r="F17" s="16" t="s">
        <v>16</v>
      </c>
      <c r="G17" s="16" t="s">
        <v>17</v>
      </c>
      <c r="H17" s="37" t="s">
        <v>15</v>
      </c>
      <c r="I17" s="37" t="s">
        <v>83</v>
      </c>
      <c r="J17" s="38" t="s">
        <v>12</v>
      </c>
      <c r="K17" s="112"/>
      <c r="L17" s="112"/>
      <c r="M17" s="112"/>
      <c r="N17" s="133" t="s">
        <v>87</v>
      </c>
      <c r="O17" s="133" t="s">
        <v>86</v>
      </c>
    </row>
    <row r="18" spans="1:18" s="114" customFormat="1" ht="55.5" customHeight="1" thickTop="1" x14ac:dyDescent="0.35">
      <c r="A18" s="61">
        <v>1</v>
      </c>
      <c r="B18" s="62" t="s">
        <v>39</v>
      </c>
      <c r="C18" s="22">
        <v>35767</v>
      </c>
      <c r="D18" s="22" t="s">
        <v>54</v>
      </c>
      <c r="E18" s="73" t="s">
        <v>29</v>
      </c>
      <c r="F18" s="74" t="s">
        <v>18</v>
      </c>
      <c r="G18" s="74" t="s">
        <v>19</v>
      </c>
      <c r="H18" s="18">
        <v>373714.28</v>
      </c>
      <c r="I18" s="18">
        <v>336342.85</v>
      </c>
      <c r="J18" s="60">
        <f>ROUNDUP((H18-I18),2)</f>
        <v>37371.440000000002</v>
      </c>
      <c r="K18" s="112"/>
      <c r="N18" s="139"/>
    </row>
    <row r="19" spans="1:18" s="115" customFormat="1" ht="38.1" customHeight="1" x14ac:dyDescent="0.3">
      <c r="A19" s="106">
        <v>1</v>
      </c>
      <c r="B19" s="44" t="s">
        <v>38</v>
      </c>
      <c r="C19" s="103">
        <v>37974</v>
      </c>
      <c r="D19" s="103" t="s">
        <v>55</v>
      </c>
      <c r="E19" s="53" t="s">
        <v>2</v>
      </c>
      <c r="F19" s="47" t="s">
        <v>21</v>
      </c>
      <c r="G19" s="47" t="s">
        <v>22</v>
      </c>
      <c r="H19" s="102">
        <v>342907.75</v>
      </c>
      <c r="I19" s="102">
        <v>308616.98</v>
      </c>
      <c r="J19" s="105">
        <f t="shared" ref="J19:J25" si="0">ROUNDUP((H19-I19),2)</f>
        <v>34290.769999999997</v>
      </c>
      <c r="K19" s="112"/>
    </row>
    <row r="20" spans="1:18" s="115" customFormat="1" ht="38.1" customHeight="1" x14ac:dyDescent="0.3">
      <c r="A20" s="106">
        <v>1</v>
      </c>
      <c r="B20" s="44" t="s">
        <v>38</v>
      </c>
      <c r="C20" s="103">
        <v>37974</v>
      </c>
      <c r="D20" s="103" t="s">
        <v>56</v>
      </c>
      <c r="E20" s="53" t="s">
        <v>2</v>
      </c>
      <c r="F20" s="47" t="s">
        <v>21</v>
      </c>
      <c r="G20" s="47" t="s">
        <v>22</v>
      </c>
      <c r="H20" s="102">
        <v>342907.75</v>
      </c>
      <c r="I20" s="102">
        <v>308616.98</v>
      </c>
      <c r="J20" s="105">
        <f t="shared" si="0"/>
        <v>34290.769999999997</v>
      </c>
      <c r="K20" s="112"/>
    </row>
    <row r="21" spans="1:18" s="115" customFormat="1" ht="38.1" customHeight="1" x14ac:dyDescent="0.3">
      <c r="A21" s="106">
        <v>1</v>
      </c>
      <c r="B21" s="44" t="s">
        <v>36</v>
      </c>
      <c r="C21" s="103">
        <v>39898</v>
      </c>
      <c r="D21" s="103" t="s">
        <v>57</v>
      </c>
      <c r="E21" s="53" t="s">
        <v>33</v>
      </c>
      <c r="F21" s="54" t="s">
        <v>20</v>
      </c>
      <c r="G21" s="55" t="s">
        <v>27</v>
      </c>
      <c r="H21" s="102">
        <v>525377</v>
      </c>
      <c r="I21" s="102">
        <v>472839.3</v>
      </c>
      <c r="J21" s="105">
        <f t="shared" si="0"/>
        <v>52537.7</v>
      </c>
      <c r="K21" s="112"/>
    </row>
    <row r="22" spans="1:18" s="115" customFormat="1" ht="38.1" customHeight="1" x14ac:dyDescent="0.3">
      <c r="A22" s="106">
        <v>1</v>
      </c>
      <c r="B22" s="44" t="s">
        <v>36</v>
      </c>
      <c r="C22" s="103">
        <v>39898</v>
      </c>
      <c r="D22" s="103" t="s">
        <v>57</v>
      </c>
      <c r="E22" s="53" t="s">
        <v>33</v>
      </c>
      <c r="F22" s="54" t="s">
        <v>20</v>
      </c>
      <c r="G22" s="55" t="s">
        <v>27</v>
      </c>
      <c r="H22" s="102">
        <v>525377</v>
      </c>
      <c r="I22" s="102">
        <v>472839.3</v>
      </c>
      <c r="J22" s="105">
        <f t="shared" si="0"/>
        <v>52537.7</v>
      </c>
      <c r="K22" s="112"/>
    </row>
    <row r="23" spans="1:18" s="115" customFormat="1" ht="36" hidden="1" customHeight="1" x14ac:dyDescent="0.3">
      <c r="A23" s="64">
        <v>1</v>
      </c>
      <c r="B23" s="45" t="s">
        <v>40</v>
      </c>
      <c r="C23" s="103">
        <v>40543</v>
      </c>
      <c r="D23" s="103"/>
      <c r="E23" s="53" t="s">
        <v>32</v>
      </c>
      <c r="F23" s="56" t="s">
        <v>28</v>
      </c>
      <c r="G23" s="56" t="s">
        <v>23</v>
      </c>
      <c r="H23" s="17">
        <v>64059.07</v>
      </c>
      <c r="I23" s="102">
        <v>43239.87</v>
      </c>
      <c r="J23" s="105">
        <f t="shared" si="0"/>
        <v>20819.2</v>
      </c>
      <c r="K23" s="112"/>
    </row>
    <row r="24" spans="1:18" s="115" customFormat="1" ht="36" hidden="1" customHeight="1" x14ac:dyDescent="0.3">
      <c r="A24" s="64">
        <v>1</v>
      </c>
      <c r="B24" s="45" t="s">
        <v>40</v>
      </c>
      <c r="C24" s="103">
        <v>40543</v>
      </c>
      <c r="D24" s="103"/>
      <c r="E24" s="53" t="s">
        <v>32</v>
      </c>
      <c r="F24" s="56" t="s">
        <v>28</v>
      </c>
      <c r="G24" s="56" t="s">
        <v>23</v>
      </c>
      <c r="H24" s="17">
        <v>64059.07</v>
      </c>
      <c r="I24" s="102">
        <v>43239.87</v>
      </c>
      <c r="J24" s="105">
        <f t="shared" si="0"/>
        <v>20819.2</v>
      </c>
      <c r="K24" s="112"/>
    </row>
    <row r="25" spans="1:18" s="121" customFormat="1" ht="38.1" customHeight="1" thickBot="1" x14ac:dyDescent="0.35">
      <c r="A25" s="140">
        <v>1</v>
      </c>
      <c r="B25" s="141"/>
      <c r="C25" s="145">
        <v>42748</v>
      </c>
      <c r="D25" s="142" t="s">
        <v>90</v>
      </c>
      <c r="E25" s="142" t="s">
        <v>93</v>
      </c>
      <c r="F25" s="141" t="s">
        <v>88</v>
      </c>
      <c r="G25" s="141" t="s">
        <v>89</v>
      </c>
      <c r="H25" s="143">
        <v>23573.759999999998</v>
      </c>
      <c r="I25" s="143">
        <v>453.39</v>
      </c>
      <c r="J25" s="144">
        <f t="shared" si="0"/>
        <v>23120.37</v>
      </c>
      <c r="K25" s="112">
        <f>H25*10%</f>
        <v>2357.3759999999997</v>
      </c>
      <c r="L25" s="112">
        <f>H25-K25</f>
        <v>21216.383999999998</v>
      </c>
      <c r="M25" s="112">
        <f>L25*10%</f>
        <v>2121.6383999999998</v>
      </c>
      <c r="N25" s="116">
        <f>M25/365</f>
        <v>5.8127079452054788</v>
      </c>
      <c r="O25" s="124">
        <f>19+28+31</f>
        <v>78</v>
      </c>
      <c r="P25" s="116">
        <f>N25*O25</f>
        <v>453.39121972602737</v>
      </c>
      <c r="Q25" s="117">
        <v>23573.759999999998</v>
      </c>
      <c r="R25" s="118">
        <f>Q25-P25</f>
        <v>23120.36878027397</v>
      </c>
    </row>
    <row r="26" spans="1:18" s="121" customFormat="1" ht="22.5" thickTop="1" x14ac:dyDescent="0.3">
      <c r="A26" s="120"/>
      <c r="B26" s="120"/>
      <c r="C26" s="15"/>
      <c r="D26" s="15"/>
      <c r="E26" s="15"/>
      <c r="F26" s="120"/>
      <c r="G26" s="120"/>
      <c r="H26" s="13"/>
      <c r="I26" s="13"/>
      <c r="J26" s="15"/>
      <c r="K26" s="112"/>
      <c r="L26" s="112"/>
      <c r="M26" s="112"/>
      <c r="O26" s="125"/>
    </row>
    <row r="27" spans="1:18" s="121" customFormat="1" ht="49.9" customHeight="1" x14ac:dyDescent="0.3">
      <c r="A27" s="146" t="s">
        <v>91</v>
      </c>
      <c r="B27" s="120"/>
      <c r="C27" s="591" t="s">
        <v>92</v>
      </c>
      <c r="D27" s="591"/>
      <c r="E27" s="591"/>
      <c r="F27" s="591"/>
      <c r="G27" s="591"/>
      <c r="H27" s="591"/>
      <c r="I27" s="591"/>
      <c r="J27" s="591"/>
      <c r="K27" s="112"/>
      <c r="L27" s="112"/>
      <c r="M27" s="112"/>
      <c r="O27" s="125"/>
    </row>
    <row r="28" spans="1:18" x14ac:dyDescent="0.3">
      <c r="O28" s="126"/>
    </row>
    <row r="29" spans="1:18" x14ac:dyDescent="0.3">
      <c r="O29" s="126"/>
    </row>
    <row r="30" spans="1:18" x14ac:dyDescent="0.3">
      <c r="O30" s="126"/>
    </row>
    <row r="31" spans="1:18" x14ac:dyDescent="0.3">
      <c r="O31" s="126"/>
    </row>
    <row r="32" spans="1:18" x14ac:dyDescent="0.3">
      <c r="O32" s="126"/>
    </row>
    <row r="33" spans="1:15" x14ac:dyDescent="0.3">
      <c r="O33" s="126"/>
    </row>
    <row r="34" spans="1:15" x14ac:dyDescent="0.3">
      <c r="O34" s="126"/>
    </row>
    <row r="35" spans="1:15" s="1" customFormat="1" ht="51.95" customHeight="1" x14ac:dyDescent="0.2">
      <c r="A35" s="58"/>
      <c r="B35" s="97"/>
      <c r="C35" s="20"/>
      <c r="D35" s="20"/>
      <c r="E35" s="98"/>
      <c r="F35" s="108"/>
      <c r="G35" s="108"/>
      <c r="H35" s="112"/>
      <c r="I35" s="112"/>
      <c r="J35" s="112"/>
      <c r="K35" s="112"/>
      <c r="L35" s="112"/>
      <c r="M35" s="112"/>
      <c r="O35" s="127"/>
    </row>
    <row r="36" spans="1:15" s="1" customFormat="1" ht="51.95" customHeight="1" x14ac:dyDescent="0.2">
      <c r="A36" s="58"/>
      <c r="B36" s="97"/>
      <c r="C36" s="20"/>
      <c r="D36" s="20"/>
      <c r="E36" s="98"/>
      <c r="F36" s="108"/>
      <c r="G36" s="108"/>
      <c r="H36" s="112"/>
      <c r="I36" s="112"/>
      <c r="J36" s="112"/>
      <c r="K36" s="112"/>
      <c r="L36" s="112"/>
      <c r="M36" s="112"/>
      <c r="O36" s="127"/>
    </row>
    <row r="37" spans="1:15" s="1" customFormat="1" ht="51.95" customHeight="1" x14ac:dyDescent="0.2">
      <c r="A37" s="58"/>
      <c r="B37" s="97"/>
      <c r="C37" s="20"/>
      <c r="D37" s="20"/>
      <c r="E37" s="98"/>
      <c r="F37" s="108"/>
      <c r="G37" s="108"/>
      <c r="H37" s="112"/>
      <c r="I37" s="112"/>
      <c r="J37" s="112"/>
      <c r="K37" s="112"/>
      <c r="L37" s="112"/>
      <c r="M37" s="112"/>
      <c r="O37" s="127"/>
    </row>
    <row r="38" spans="1:15" s="1" customFormat="1" ht="51.95" customHeight="1" x14ac:dyDescent="0.2">
      <c r="A38" s="58"/>
      <c r="B38" s="97"/>
      <c r="C38" s="20"/>
      <c r="D38" s="20"/>
      <c r="E38" s="98"/>
      <c r="F38" s="108"/>
      <c r="G38" s="108"/>
      <c r="H38" s="112"/>
      <c r="I38" s="112"/>
      <c r="J38" s="112"/>
      <c r="K38" s="112"/>
      <c r="L38" s="112"/>
      <c r="M38" s="112"/>
      <c r="O38" s="127"/>
    </row>
    <row r="39" spans="1:15" s="1" customFormat="1" ht="51.95" customHeight="1" x14ac:dyDescent="0.2">
      <c r="A39" s="58"/>
      <c r="B39" s="97"/>
      <c r="C39" s="20"/>
      <c r="D39" s="20"/>
      <c r="E39" s="98"/>
      <c r="F39" s="108"/>
      <c r="G39" s="108"/>
      <c r="H39" s="112"/>
      <c r="I39" s="112"/>
      <c r="J39" s="112"/>
      <c r="K39" s="112"/>
      <c r="L39" s="112"/>
      <c r="M39" s="112"/>
      <c r="O39" s="127"/>
    </row>
    <row r="40" spans="1:15" s="1" customFormat="1" ht="51.95" customHeight="1" x14ac:dyDescent="0.2">
      <c r="A40" s="58"/>
      <c r="B40" s="97"/>
      <c r="C40" s="20"/>
      <c r="D40" s="20"/>
      <c r="E40" s="98"/>
      <c r="F40" s="108"/>
      <c r="G40" s="108"/>
      <c r="H40" s="112"/>
      <c r="I40" s="112"/>
      <c r="J40" s="112"/>
      <c r="K40" s="112"/>
      <c r="L40" s="112"/>
      <c r="M40" s="112"/>
      <c r="O40" s="127"/>
    </row>
    <row r="41" spans="1:15" s="1" customFormat="1" ht="38.1" customHeight="1" x14ac:dyDescent="0.2">
      <c r="A41" s="40"/>
      <c r="B41" s="48"/>
      <c r="C41" s="20"/>
      <c r="D41" s="20"/>
      <c r="E41" s="59"/>
      <c r="F41" s="112"/>
      <c r="G41" s="112"/>
      <c r="H41" s="19"/>
      <c r="I41" s="19"/>
      <c r="J41" s="19"/>
      <c r="K41" s="112"/>
      <c r="L41" s="112"/>
      <c r="M41" s="112"/>
      <c r="O41" s="127"/>
    </row>
    <row r="42" spans="1:15" s="41" customFormat="1" ht="23.1" customHeight="1" thickBot="1" x14ac:dyDescent="0.4">
      <c r="A42" s="40"/>
      <c r="B42" s="588" t="s">
        <v>41</v>
      </c>
      <c r="C42" s="588"/>
      <c r="D42" s="588"/>
      <c r="E42" s="588"/>
      <c r="F42" s="588"/>
      <c r="G42" s="588"/>
      <c r="H42" s="588"/>
      <c r="I42" s="588"/>
      <c r="J42" s="49"/>
      <c r="K42" s="112"/>
      <c r="L42" s="112"/>
      <c r="M42" s="112"/>
      <c r="O42" s="128"/>
    </row>
    <row r="43" spans="1:15" s="41" customFormat="1" ht="23.1" customHeight="1" x14ac:dyDescent="0.2">
      <c r="A43" s="40"/>
      <c r="B43" s="589" t="s">
        <v>7</v>
      </c>
      <c r="C43" s="589"/>
      <c r="D43" s="589"/>
      <c r="E43" s="589"/>
      <c r="F43" s="589"/>
      <c r="G43" s="589"/>
      <c r="H43" s="589"/>
      <c r="I43" s="589"/>
      <c r="J43" s="49"/>
      <c r="K43" s="112"/>
      <c r="L43" s="112"/>
      <c r="M43" s="112"/>
      <c r="O43" s="128"/>
    </row>
    <row r="44" spans="1:15" s="41" customFormat="1" ht="23.1" customHeight="1" x14ac:dyDescent="0.35">
      <c r="A44" s="40"/>
      <c r="B44" s="590" t="s">
        <v>8</v>
      </c>
      <c r="C44" s="590"/>
      <c r="D44" s="590"/>
      <c r="E44" s="590"/>
      <c r="F44" s="590"/>
      <c r="G44" s="590"/>
      <c r="H44" s="590"/>
      <c r="I44" s="590"/>
      <c r="J44" s="113"/>
      <c r="K44" s="112"/>
      <c r="L44" s="112"/>
      <c r="M44" s="112"/>
      <c r="O44" s="128"/>
    </row>
    <row r="45" spans="1:15" s="41" customFormat="1" ht="23.1" customHeight="1" x14ac:dyDescent="0.35">
      <c r="A45" s="40"/>
      <c r="B45" s="590" t="s">
        <v>9</v>
      </c>
      <c r="C45" s="590"/>
      <c r="D45" s="590"/>
      <c r="E45" s="590"/>
      <c r="F45" s="590"/>
      <c r="G45" s="590"/>
      <c r="H45" s="590"/>
      <c r="I45" s="590"/>
      <c r="J45" s="50"/>
      <c r="K45" s="112"/>
      <c r="L45" s="112"/>
      <c r="M45" s="112"/>
      <c r="O45" s="128"/>
    </row>
    <row r="46" spans="1:15" s="41" customFormat="1" ht="23.1" customHeight="1" x14ac:dyDescent="0.35">
      <c r="A46" s="40"/>
      <c r="B46" s="113"/>
      <c r="C46" s="113"/>
      <c r="D46" s="113"/>
      <c r="E46" s="113"/>
      <c r="F46" s="113"/>
      <c r="G46" s="113"/>
      <c r="H46" s="113"/>
      <c r="I46" s="113"/>
      <c r="J46" s="50"/>
      <c r="K46" s="112"/>
      <c r="L46" s="112"/>
      <c r="M46" s="112"/>
      <c r="O46" s="128"/>
    </row>
    <row r="47" spans="1:15" s="1" customFormat="1" ht="23.1" customHeight="1" x14ac:dyDescent="0.35">
      <c r="A47" s="40"/>
      <c r="B47" s="51"/>
      <c r="C47" s="51"/>
      <c r="D47" s="51"/>
      <c r="E47" s="51"/>
      <c r="F47" s="51"/>
      <c r="G47" s="51"/>
      <c r="H47" s="51"/>
      <c r="I47" s="51"/>
      <c r="J47" s="52"/>
      <c r="K47" s="112"/>
      <c r="L47" s="112"/>
      <c r="M47" s="112"/>
      <c r="O47" s="127"/>
    </row>
    <row r="48" spans="1:15" x14ac:dyDescent="0.3">
      <c r="A48" s="75"/>
      <c r="B48" s="75"/>
      <c r="C48" s="12"/>
      <c r="D48" s="12"/>
      <c r="E48" s="12"/>
      <c r="F48" s="75"/>
      <c r="G48" s="75"/>
      <c r="J48" s="13"/>
      <c r="O48" s="126"/>
    </row>
    <row r="49" spans="1:15" x14ac:dyDescent="0.3">
      <c r="A49" s="75"/>
      <c r="B49" s="75"/>
      <c r="C49" s="12"/>
      <c r="D49" s="12"/>
      <c r="E49" s="12"/>
      <c r="F49" s="75"/>
      <c r="G49" s="75"/>
      <c r="J49" s="13"/>
      <c r="O49" s="126"/>
    </row>
    <row r="50" spans="1:15" s="9" customFormat="1" x14ac:dyDescent="0.3">
      <c r="A50" s="75"/>
      <c r="B50" s="75"/>
      <c r="C50" s="12"/>
      <c r="D50" s="12"/>
      <c r="E50" s="12"/>
      <c r="F50" s="75"/>
      <c r="G50" s="75"/>
      <c r="H50" s="12"/>
      <c r="I50" s="13"/>
      <c r="J50" s="13"/>
      <c r="K50" s="112"/>
      <c r="L50" s="112"/>
      <c r="M50" s="112"/>
      <c r="O50" s="129"/>
    </row>
    <row r="51" spans="1:15" s="9" customFormat="1" x14ac:dyDescent="0.3">
      <c r="A51" s="75"/>
      <c r="B51" s="75"/>
      <c r="C51" s="12"/>
      <c r="D51" s="12"/>
      <c r="E51" s="12"/>
      <c r="F51" s="75"/>
      <c r="G51" s="75"/>
      <c r="H51" s="12"/>
      <c r="I51" s="13"/>
      <c r="J51" s="13"/>
      <c r="K51" s="112"/>
      <c r="L51" s="112"/>
      <c r="M51" s="112"/>
      <c r="O51" s="129"/>
    </row>
    <row r="52" spans="1:15" s="9" customFormat="1" x14ac:dyDescent="0.3">
      <c r="A52" s="75"/>
      <c r="B52" s="75"/>
      <c r="C52" s="12"/>
      <c r="D52" s="12"/>
      <c r="E52" s="12"/>
      <c r="F52" s="75"/>
      <c r="G52" s="75"/>
      <c r="H52" s="12"/>
      <c r="I52" s="13"/>
      <c r="J52" s="13"/>
      <c r="K52" s="112"/>
      <c r="L52" s="112"/>
      <c r="M52" s="112"/>
      <c r="O52" s="129"/>
    </row>
    <row r="53" spans="1:15" s="2" customFormat="1" ht="24.95" customHeight="1" x14ac:dyDescent="0.35">
      <c r="A53" s="77" t="s">
        <v>4</v>
      </c>
      <c r="B53" s="78"/>
      <c r="C53" s="4"/>
      <c r="D53" s="4"/>
      <c r="E53" s="79"/>
      <c r="F53" s="30"/>
      <c r="G53" s="30"/>
      <c r="H53" s="4"/>
      <c r="I53" s="80"/>
      <c r="J53" s="5"/>
      <c r="K53" s="112"/>
      <c r="L53" s="112"/>
      <c r="M53" s="112"/>
      <c r="O53" s="130"/>
    </row>
    <row r="54" spans="1:15" s="2" customFormat="1" ht="24.95" customHeight="1" x14ac:dyDescent="0.35">
      <c r="A54" s="77" t="s">
        <v>5</v>
      </c>
      <c r="B54" s="78"/>
      <c r="C54" s="4"/>
      <c r="D54" s="4"/>
      <c r="E54" s="81"/>
      <c r="F54" s="30"/>
      <c r="G54" s="30"/>
      <c r="H54" s="4"/>
      <c r="I54" s="5"/>
      <c r="J54" s="5"/>
      <c r="K54" s="112"/>
      <c r="L54" s="112"/>
      <c r="M54" s="112"/>
      <c r="O54" s="130"/>
    </row>
    <row r="55" spans="1:15" s="2" customFormat="1" ht="30" customHeight="1" x14ac:dyDescent="0.35">
      <c r="A55" s="78"/>
      <c r="B55" s="78"/>
      <c r="C55" s="4"/>
      <c r="D55" s="4"/>
      <c r="E55" s="81"/>
      <c r="F55" s="30"/>
      <c r="G55" s="30"/>
      <c r="H55" s="4"/>
      <c r="I55" s="5"/>
      <c r="J55" s="5"/>
      <c r="K55" s="112"/>
      <c r="L55" s="112"/>
      <c r="M55" s="112"/>
      <c r="O55" s="130"/>
    </row>
    <row r="56" spans="1:15" s="2" customFormat="1" ht="30" customHeight="1" x14ac:dyDescent="0.35">
      <c r="A56" s="78"/>
      <c r="B56" s="78"/>
      <c r="C56" s="4"/>
      <c r="D56" s="4"/>
      <c r="E56" s="81"/>
      <c r="F56" s="30"/>
      <c r="G56" s="30"/>
      <c r="H56" s="4"/>
      <c r="I56" s="5"/>
      <c r="J56" s="5"/>
      <c r="K56" s="112"/>
      <c r="L56" s="112"/>
      <c r="M56" s="112"/>
      <c r="O56" s="130"/>
    </row>
    <row r="57" spans="1:15" ht="30" customHeight="1" x14ac:dyDescent="0.35">
      <c r="A57" s="592" t="s">
        <v>81</v>
      </c>
      <c r="B57" s="592"/>
      <c r="C57" s="592"/>
      <c r="D57" s="592"/>
      <c r="E57" s="592"/>
      <c r="F57" s="592"/>
      <c r="G57" s="592"/>
      <c r="H57" s="592"/>
      <c r="I57" s="592"/>
      <c r="J57" s="592"/>
      <c r="O57" s="126"/>
    </row>
    <row r="58" spans="1:15" ht="30" customHeight="1" x14ac:dyDescent="0.35">
      <c r="A58" s="592" t="s">
        <v>10</v>
      </c>
      <c r="B58" s="592"/>
      <c r="C58" s="592"/>
      <c r="D58" s="592"/>
      <c r="E58" s="592"/>
      <c r="F58" s="592"/>
      <c r="G58" s="592"/>
      <c r="H58" s="592"/>
      <c r="I58" s="592"/>
      <c r="J58" s="592"/>
      <c r="O58" s="126"/>
    </row>
    <row r="59" spans="1:15" ht="23.25" x14ac:dyDescent="0.35">
      <c r="A59" s="78"/>
      <c r="B59" s="78"/>
      <c r="C59" s="82"/>
      <c r="D59" s="82"/>
      <c r="E59" s="30"/>
      <c r="F59" s="30"/>
      <c r="G59" s="30"/>
      <c r="H59" s="30"/>
      <c r="I59" s="31"/>
      <c r="J59" s="30"/>
      <c r="O59" s="126"/>
    </row>
    <row r="60" spans="1:15" ht="30" customHeight="1" x14ac:dyDescent="0.35">
      <c r="A60" s="83" t="s">
        <v>66</v>
      </c>
      <c r="B60" s="84"/>
      <c r="C60" s="85"/>
      <c r="D60" s="85"/>
      <c r="E60" s="4"/>
      <c r="F60" s="86"/>
      <c r="G60" s="86"/>
      <c r="H60" s="35"/>
      <c r="I60" s="36"/>
      <c r="J60" s="35"/>
      <c r="K60" s="76"/>
      <c r="L60" s="3"/>
      <c r="M60" s="3"/>
      <c r="O60" s="126"/>
    </row>
    <row r="61" spans="1:15" ht="30" customHeight="1" x14ac:dyDescent="0.35">
      <c r="A61" s="83"/>
      <c r="B61" s="84"/>
      <c r="C61" s="85"/>
      <c r="D61" s="85"/>
      <c r="E61" s="4"/>
      <c r="F61" s="86"/>
      <c r="G61" s="86"/>
      <c r="H61" s="35"/>
      <c r="I61" s="36"/>
      <c r="J61" s="35"/>
      <c r="K61" s="76"/>
      <c r="L61" s="3"/>
      <c r="M61" s="3"/>
      <c r="O61" s="126"/>
    </row>
    <row r="62" spans="1:15" ht="30" customHeight="1" x14ac:dyDescent="0.35">
      <c r="A62" s="83"/>
      <c r="B62" s="84"/>
      <c r="C62" s="85"/>
      <c r="D62" s="85"/>
      <c r="E62" s="4"/>
      <c r="F62" s="86"/>
      <c r="G62" s="86"/>
      <c r="H62" s="35"/>
      <c r="I62" s="36"/>
      <c r="J62" s="35"/>
      <c r="K62" s="76"/>
      <c r="L62" s="3"/>
      <c r="M62" s="3"/>
      <c r="O62" s="126"/>
    </row>
    <row r="63" spans="1:15" ht="22.5" thickBot="1" x14ac:dyDescent="0.35">
      <c r="A63" s="75"/>
      <c r="B63" s="75"/>
      <c r="C63" s="12"/>
      <c r="D63" s="12"/>
      <c r="E63" s="12"/>
      <c r="F63" s="87"/>
      <c r="G63" s="87"/>
      <c r="J63" s="13"/>
      <c r="K63" s="76"/>
      <c r="L63" s="3"/>
      <c r="M63" s="3"/>
      <c r="O63" s="126"/>
    </row>
    <row r="64" spans="1:15" ht="66.75" thickTop="1" thickBot="1" x14ac:dyDescent="0.35">
      <c r="A64" s="88" t="s">
        <v>6</v>
      </c>
      <c r="B64" s="37" t="s">
        <v>0</v>
      </c>
      <c r="C64" s="37" t="s">
        <v>11</v>
      </c>
      <c r="D64" s="37" t="s">
        <v>45</v>
      </c>
      <c r="E64" s="37" t="s">
        <v>1</v>
      </c>
      <c r="F64" s="37" t="s">
        <v>16</v>
      </c>
      <c r="G64" s="37" t="s">
        <v>17</v>
      </c>
      <c r="H64" s="37" t="s">
        <v>15</v>
      </c>
      <c r="I64" s="37" t="s">
        <v>80</v>
      </c>
      <c r="J64" s="89" t="s">
        <v>12</v>
      </c>
      <c r="O64" s="126"/>
    </row>
    <row r="65" spans="1:18" s="119" customFormat="1" ht="34.5" customHeight="1" thickTop="1" x14ac:dyDescent="0.2">
      <c r="A65" s="67">
        <v>1</v>
      </c>
      <c r="B65" s="47" t="s">
        <v>37</v>
      </c>
      <c r="C65" s="103">
        <v>41334</v>
      </c>
      <c r="D65" s="103" t="s">
        <v>58</v>
      </c>
      <c r="E65" s="53" t="s">
        <v>34</v>
      </c>
      <c r="F65" s="102" t="s">
        <v>26</v>
      </c>
      <c r="G65" s="102" t="s">
        <v>30</v>
      </c>
      <c r="H65" s="17">
        <v>144307.78</v>
      </c>
      <c r="I65" s="17">
        <f>97407.82+6493.85</f>
        <v>103901.67000000001</v>
      </c>
      <c r="J65" s="105">
        <v>40406.11</v>
      </c>
      <c r="K65" s="135">
        <f>H65*10%</f>
        <v>14430.778</v>
      </c>
      <c r="L65" s="135">
        <f>H65-K65</f>
        <v>129877.00199999999</v>
      </c>
      <c r="M65" s="135">
        <f>L65*20%</f>
        <v>25975.400399999999</v>
      </c>
      <c r="N65" s="136">
        <f t="shared" ref="N65:N70" si="1">M65/12</f>
        <v>2164.6167</v>
      </c>
      <c r="O65" s="137">
        <v>3</v>
      </c>
      <c r="P65" s="136">
        <f t="shared" ref="P65:P70" si="2">N65*O65</f>
        <v>6493.8500999999997</v>
      </c>
      <c r="Q65" s="138">
        <v>46899.96</v>
      </c>
      <c r="R65" s="134">
        <f>Q65-P65</f>
        <v>40406.109899999996</v>
      </c>
    </row>
    <row r="66" spans="1:18" s="119" customFormat="1" ht="34.5" customHeight="1" x14ac:dyDescent="0.2">
      <c r="A66" s="67">
        <v>1</v>
      </c>
      <c r="B66" s="47" t="s">
        <v>37</v>
      </c>
      <c r="C66" s="103">
        <v>41334</v>
      </c>
      <c r="D66" s="103" t="s">
        <v>58</v>
      </c>
      <c r="E66" s="53" t="s">
        <v>34</v>
      </c>
      <c r="F66" s="102" t="s">
        <v>26</v>
      </c>
      <c r="G66" s="102" t="s">
        <v>30</v>
      </c>
      <c r="H66" s="17">
        <v>144307.78</v>
      </c>
      <c r="I66" s="17">
        <f>97407.82+6493.85</f>
        <v>103901.67000000001</v>
      </c>
      <c r="J66" s="105">
        <v>40406.11</v>
      </c>
      <c r="K66" s="135">
        <f t="shared" ref="K66:K94" si="3">H66*10%</f>
        <v>14430.778</v>
      </c>
      <c r="L66" s="135">
        <f t="shared" ref="L66:L94" si="4">H66-K66</f>
        <v>129877.00199999999</v>
      </c>
      <c r="M66" s="135">
        <f t="shared" ref="M66:M94" si="5">L66*20%</f>
        <v>25975.400399999999</v>
      </c>
      <c r="N66" s="136">
        <f t="shared" si="1"/>
        <v>2164.6167</v>
      </c>
      <c r="O66" s="137">
        <v>3</v>
      </c>
      <c r="P66" s="136">
        <f t="shared" si="2"/>
        <v>6493.8500999999997</v>
      </c>
      <c r="Q66" s="138">
        <v>46899.96</v>
      </c>
      <c r="R66" s="134">
        <f t="shared" ref="R66:R71" si="6">Q66-P66</f>
        <v>40406.109899999996</v>
      </c>
    </row>
    <row r="67" spans="1:18" s="119" customFormat="1" ht="51" customHeight="1" x14ac:dyDescent="0.2">
      <c r="A67" s="64">
        <v>1</v>
      </c>
      <c r="B67" s="47" t="s">
        <v>35</v>
      </c>
      <c r="C67" s="103">
        <v>41611</v>
      </c>
      <c r="D67" s="103" t="s">
        <v>59</v>
      </c>
      <c r="E67" s="21" t="s">
        <v>31</v>
      </c>
      <c r="F67" s="46" t="s">
        <v>24</v>
      </c>
      <c r="G67" s="47" t="s">
        <v>25</v>
      </c>
      <c r="H67" s="17">
        <v>175817</v>
      </c>
      <c r="I67" s="17">
        <f>97578.47+7911.77</f>
        <v>105490.24000000001</v>
      </c>
      <c r="J67" s="105">
        <v>70326.77</v>
      </c>
      <c r="K67" s="135">
        <f t="shared" si="3"/>
        <v>17581.7</v>
      </c>
      <c r="L67" s="135">
        <f t="shared" si="4"/>
        <v>158235.29999999999</v>
      </c>
      <c r="M67" s="135">
        <f t="shared" si="5"/>
        <v>31647.059999999998</v>
      </c>
      <c r="N67" s="136">
        <f t="shared" si="1"/>
        <v>2637.2549999999997</v>
      </c>
      <c r="O67" s="137">
        <v>3</v>
      </c>
      <c r="P67" s="136">
        <f t="shared" si="2"/>
        <v>7911.7649999999994</v>
      </c>
      <c r="Q67" s="138">
        <v>78238.53</v>
      </c>
      <c r="R67" s="134">
        <f t="shared" si="6"/>
        <v>70326.764999999999</v>
      </c>
    </row>
    <row r="68" spans="1:18" s="119" customFormat="1" ht="51" customHeight="1" x14ac:dyDescent="0.2">
      <c r="A68" s="64">
        <v>1</v>
      </c>
      <c r="B68" s="47" t="s">
        <v>35</v>
      </c>
      <c r="C68" s="103">
        <v>41611</v>
      </c>
      <c r="D68" s="103" t="s">
        <v>59</v>
      </c>
      <c r="E68" s="21" t="s">
        <v>31</v>
      </c>
      <c r="F68" s="46" t="s">
        <v>24</v>
      </c>
      <c r="G68" s="47" t="s">
        <v>25</v>
      </c>
      <c r="H68" s="17">
        <v>175817</v>
      </c>
      <c r="I68" s="17">
        <f>97578.47+7911.77</f>
        <v>105490.24000000001</v>
      </c>
      <c r="J68" s="105">
        <v>70326.77</v>
      </c>
      <c r="K68" s="135">
        <f t="shared" si="3"/>
        <v>17581.7</v>
      </c>
      <c r="L68" s="135">
        <f t="shared" si="4"/>
        <v>158235.29999999999</v>
      </c>
      <c r="M68" s="135">
        <f t="shared" si="5"/>
        <v>31647.059999999998</v>
      </c>
      <c r="N68" s="136">
        <f t="shared" si="1"/>
        <v>2637.2549999999997</v>
      </c>
      <c r="O68" s="137">
        <v>3</v>
      </c>
      <c r="P68" s="136">
        <f t="shared" si="2"/>
        <v>7911.7649999999994</v>
      </c>
      <c r="Q68" s="138">
        <v>78238.53</v>
      </c>
      <c r="R68" s="134">
        <f t="shared" si="6"/>
        <v>70326.764999999999</v>
      </c>
    </row>
    <row r="69" spans="1:18" s="119" customFormat="1" ht="34.5" customHeight="1" x14ac:dyDescent="0.2">
      <c r="A69" s="64">
        <v>1</v>
      </c>
      <c r="B69" s="103" t="s">
        <v>35</v>
      </c>
      <c r="C69" s="103">
        <v>41611</v>
      </c>
      <c r="D69" s="103" t="s">
        <v>59</v>
      </c>
      <c r="E69" s="57" t="s">
        <v>14</v>
      </c>
      <c r="F69" s="46" t="s">
        <v>24</v>
      </c>
      <c r="G69" s="47" t="s">
        <v>25</v>
      </c>
      <c r="H69" s="17">
        <v>194901.5</v>
      </c>
      <c r="I69" s="17">
        <f>108170.31+8770.57</f>
        <v>116940.88</v>
      </c>
      <c r="J69" s="105">
        <v>77960.62</v>
      </c>
      <c r="K69" s="135">
        <f t="shared" si="3"/>
        <v>19490.150000000001</v>
      </c>
      <c r="L69" s="135">
        <f t="shared" si="4"/>
        <v>175411.35</v>
      </c>
      <c r="M69" s="135">
        <f t="shared" si="5"/>
        <v>35082.270000000004</v>
      </c>
      <c r="N69" s="136">
        <f t="shared" si="1"/>
        <v>2923.5225000000005</v>
      </c>
      <c r="O69" s="137">
        <v>3</v>
      </c>
      <c r="P69" s="136">
        <f t="shared" si="2"/>
        <v>8770.567500000001</v>
      </c>
      <c r="Q69" s="138">
        <v>86731.19</v>
      </c>
      <c r="R69" s="134">
        <f t="shared" si="6"/>
        <v>77960.622499999998</v>
      </c>
    </row>
    <row r="70" spans="1:18" s="119" customFormat="1" ht="34.5" customHeight="1" x14ac:dyDescent="0.2">
      <c r="A70" s="64">
        <v>1</v>
      </c>
      <c r="B70" s="103" t="s">
        <v>35</v>
      </c>
      <c r="C70" s="103">
        <v>41611</v>
      </c>
      <c r="D70" s="103" t="s">
        <v>59</v>
      </c>
      <c r="E70" s="57" t="s">
        <v>14</v>
      </c>
      <c r="F70" s="46" t="s">
        <v>24</v>
      </c>
      <c r="G70" s="47" t="s">
        <v>25</v>
      </c>
      <c r="H70" s="17">
        <v>194901.5</v>
      </c>
      <c r="I70" s="17">
        <f>108170.31+8770.57</f>
        <v>116940.88</v>
      </c>
      <c r="J70" s="105">
        <v>77960.62</v>
      </c>
      <c r="K70" s="135">
        <f t="shared" si="3"/>
        <v>19490.150000000001</v>
      </c>
      <c r="L70" s="135">
        <f t="shared" si="4"/>
        <v>175411.35</v>
      </c>
      <c r="M70" s="135">
        <f t="shared" si="5"/>
        <v>35082.270000000004</v>
      </c>
      <c r="N70" s="136">
        <f t="shared" si="1"/>
        <v>2923.5225000000005</v>
      </c>
      <c r="O70" s="137">
        <v>3</v>
      </c>
      <c r="P70" s="136">
        <f t="shared" si="2"/>
        <v>8770.567500000001</v>
      </c>
      <c r="Q70" s="138">
        <v>86731.19</v>
      </c>
      <c r="R70" s="134">
        <f t="shared" si="6"/>
        <v>77960.622499999998</v>
      </c>
    </row>
    <row r="71" spans="1:18" s="121" customFormat="1" ht="34.5" customHeight="1" x14ac:dyDescent="0.3">
      <c r="A71" s="106">
        <v>1</v>
      </c>
      <c r="B71" s="44" t="s">
        <v>65</v>
      </c>
      <c r="C71" s="103">
        <v>42461</v>
      </c>
      <c r="D71" s="103" t="s">
        <v>61</v>
      </c>
      <c r="E71" s="53" t="s">
        <v>2</v>
      </c>
      <c r="F71" s="56" t="s">
        <v>47</v>
      </c>
      <c r="G71" s="56" t="s">
        <v>46</v>
      </c>
      <c r="H71" s="102">
        <v>123606.55</v>
      </c>
      <c r="I71" s="102">
        <f>16763.08+5486.1</f>
        <v>22249.18</v>
      </c>
      <c r="J71" s="105">
        <v>101357.45</v>
      </c>
      <c r="K71" s="112">
        <f t="shared" si="3"/>
        <v>12360.655000000001</v>
      </c>
      <c r="L71" s="112">
        <f t="shared" si="4"/>
        <v>111245.895</v>
      </c>
      <c r="M71" s="112">
        <f t="shared" si="5"/>
        <v>22249.179000000004</v>
      </c>
      <c r="N71" s="116">
        <f>M71/365</f>
        <v>60.95665479452056</v>
      </c>
      <c r="O71" s="124">
        <f t="shared" ref="O71:O94" si="7">31+28+31</f>
        <v>90</v>
      </c>
      <c r="P71" s="116">
        <f t="shared" ref="P71:P94" si="8">N71*O71</f>
        <v>5486.09893150685</v>
      </c>
      <c r="Q71" s="117">
        <v>106843.548</v>
      </c>
      <c r="R71" s="118">
        <f t="shared" si="6"/>
        <v>101357.44906849315</v>
      </c>
    </row>
    <row r="72" spans="1:18" s="121" customFormat="1" ht="34.5" customHeight="1" x14ac:dyDescent="0.3">
      <c r="A72" s="64">
        <v>1</v>
      </c>
      <c r="B72" s="45" t="s">
        <v>42</v>
      </c>
      <c r="C72" s="103">
        <v>42143</v>
      </c>
      <c r="D72" s="103" t="s">
        <v>60</v>
      </c>
      <c r="E72" s="53" t="s">
        <v>13</v>
      </c>
      <c r="F72" s="56" t="s">
        <v>21</v>
      </c>
      <c r="G72" s="53" t="s">
        <v>43</v>
      </c>
      <c r="H72" s="17">
        <v>300236.52</v>
      </c>
      <c r="I72" s="102">
        <f>90070.96+13510.64</f>
        <v>103581.6</v>
      </c>
      <c r="J72" s="105">
        <v>196654.92</v>
      </c>
      <c r="K72" s="135">
        <f t="shared" si="3"/>
        <v>30023.652000000002</v>
      </c>
      <c r="L72" s="135">
        <f t="shared" si="4"/>
        <v>270212.86800000002</v>
      </c>
      <c r="M72" s="135">
        <f t="shared" si="5"/>
        <v>54042.573600000003</v>
      </c>
      <c r="N72" s="136">
        <f>M72/12</f>
        <v>4503.5478000000003</v>
      </c>
      <c r="O72" s="137">
        <v>3</v>
      </c>
      <c r="P72" s="136">
        <f t="shared" si="8"/>
        <v>13510.643400000001</v>
      </c>
      <c r="Q72" s="138">
        <v>210165.56</v>
      </c>
      <c r="R72" s="134">
        <f t="shared" ref="R72:R94" si="9">Q72-P72</f>
        <v>196654.9166</v>
      </c>
    </row>
    <row r="73" spans="1:18" s="121" customFormat="1" ht="34.5" customHeight="1" x14ac:dyDescent="0.3">
      <c r="A73" s="64">
        <v>1</v>
      </c>
      <c r="B73" s="45" t="s">
        <v>42</v>
      </c>
      <c r="C73" s="103">
        <v>42143</v>
      </c>
      <c r="D73" s="103" t="s">
        <v>60</v>
      </c>
      <c r="E73" s="53" t="s">
        <v>13</v>
      </c>
      <c r="F73" s="56" t="s">
        <v>21</v>
      </c>
      <c r="G73" s="53" t="s">
        <v>43</v>
      </c>
      <c r="H73" s="17">
        <v>300236.52</v>
      </c>
      <c r="I73" s="102">
        <f>90070.96+13510.64</f>
        <v>103581.6</v>
      </c>
      <c r="J73" s="105">
        <v>196654.92</v>
      </c>
      <c r="K73" s="135">
        <f t="shared" si="3"/>
        <v>30023.652000000002</v>
      </c>
      <c r="L73" s="135">
        <f t="shared" si="4"/>
        <v>270212.86800000002</v>
      </c>
      <c r="M73" s="135">
        <f t="shared" si="5"/>
        <v>54042.573600000003</v>
      </c>
      <c r="N73" s="136">
        <f>M73/12</f>
        <v>4503.5478000000003</v>
      </c>
      <c r="O73" s="137">
        <v>3</v>
      </c>
      <c r="P73" s="136">
        <f t="shared" si="8"/>
        <v>13510.643400000001</v>
      </c>
      <c r="Q73" s="138">
        <v>210165.56</v>
      </c>
      <c r="R73" s="134">
        <f t="shared" si="9"/>
        <v>196654.9166</v>
      </c>
    </row>
    <row r="74" spans="1:18" s="119" customFormat="1" ht="51.95" customHeight="1" x14ac:dyDescent="0.2">
      <c r="A74" s="99">
        <v>1</v>
      </c>
      <c r="B74" s="44" t="s">
        <v>63</v>
      </c>
      <c r="C74" s="103">
        <v>42536</v>
      </c>
      <c r="D74" s="103" t="s">
        <v>64</v>
      </c>
      <c r="E74" s="90" t="s">
        <v>50</v>
      </c>
      <c r="F74" s="56" t="s">
        <v>48</v>
      </c>
      <c r="G74" s="56" t="s">
        <v>49</v>
      </c>
      <c r="H74" s="102">
        <v>105787.5</v>
      </c>
      <c r="I74" s="102">
        <f>10433.84+4695.23</f>
        <v>15129.07</v>
      </c>
      <c r="J74" s="105">
        <v>90658.43</v>
      </c>
      <c r="K74" s="112">
        <f t="shared" si="3"/>
        <v>10578.75</v>
      </c>
      <c r="L74" s="112">
        <f t="shared" si="4"/>
        <v>95208.75</v>
      </c>
      <c r="M74" s="112">
        <f t="shared" si="5"/>
        <v>19041.75</v>
      </c>
      <c r="N74" s="116">
        <f t="shared" ref="N74:N94" si="10">M74/365</f>
        <v>52.169178082191777</v>
      </c>
      <c r="O74" s="124">
        <f t="shared" si="7"/>
        <v>90</v>
      </c>
      <c r="P74" s="116">
        <f t="shared" si="8"/>
        <v>4695.2260273972597</v>
      </c>
      <c r="Q74" s="117">
        <v>95353.66</v>
      </c>
      <c r="R74" s="118">
        <f t="shared" si="9"/>
        <v>90658.433972602739</v>
      </c>
    </row>
    <row r="75" spans="1:18" s="119" customFormat="1" ht="51.95" customHeight="1" x14ac:dyDescent="0.2">
      <c r="A75" s="99">
        <v>1</v>
      </c>
      <c r="B75" s="44" t="s">
        <v>63</v>
      </c>
      <c r="C75" s="109">
        <v>42536</v>
      </c>
      <c r="D75" s="103" t="s">
        <v>64</v>
      </c>
      <c r="E75" s="90" t="s">
        <v>50</v>
      </c>
      <c r="F75" s="47" t="s">
        <v>48</v>
      </c>
      <c r="G75" s="47" t="s">
        <v>49</v>
      </c>
      <c r="H75" s="102">
        <v>105787.5</v>
      </c>
      <c r="I75" s="102">
        <f>10433.84+4695.23</f>
        <v>15129.07</v>
      </c>
      <c r="J75" s="105">
        <v>90658.43</v>
      </c>
      <c r="K75" s="112">
        <f t="shared" si="3"/>
        <v>10578.75</v>
      </c>
      <c r="L75" s="112">
        <f t="shared" si="4"/>
        <v>95208.75</v>
      </c>
      <c r="M75" s="112">
        <f t="shared" si="5"/>
        <v>19041.75</v>
      </c>
      <c r="N75" s="116">
        <f t="shared" si="10"/>
        <v>52.169178082191777</v>
      </c>
      <c r="O75" s="124">
        <f t="shared" si="7"/>
        <v>90</v>
      </c>
      <c r="P75" s="116">
        <f t="shared" si="8"/>
        <v>4695.2260273972597</v>
      </c>
      <c r="Q75" s="117">
        <v>95353.66</v>
      </c>
      <c r="R75" s="118">
        <f t="shared" si="9"/>
        <v>90658.433972602739</v>
      </c>
    </row>
    <row r="76" spans="1:18" s="121" customFormat="1" ht="48.95" customHeight="1" x14ac:dyDescent="0.3">
      <c r="A76" s="100">
        <v>1</v>
      </c>
      <c r="B76" s="65" t="s">
        <v>62</v>
      </c>
      <c r="C76" s="110">
        <v>42550</v>
      </c>
      <c r="D76" s="68">
        <v>4416</v>
      </c>
      <c r="E76" s="91" t="s">
        <v>50</v>
      </c>
      <c r="F76" s="92" t="s">
        <v>21</v>
      </c>
      <c r="G76" s="92" t="s">
        <v>53</v>
      </c>
      <c r="H76" s="71">
        <v>88575.25</v>
      </c>
      <c r="I76" s="95">
        <f>8124.66+3931.29</f>
        <v>12055.95</v>
      </c>
      <c r="J76" s="66">
        <v>76519.3</v>
      </c>
      <c r="K76" s="112">
        <f t="shared" si="3"/>
        <v>8857.5249999999996</v>
      </c>
      <c r="L76" s="112">
        <f t="shared" si="4"/>
        <v>79717.725000000006</v>
      </c>
      <c r="M76" s="112">
        <f t="shared" si="5"/>
        <v>15943.545000000002</v>
      </c>
      <c r="N76" s="116">
        <f t="shared" si="10"/>
        <v>43.68094520547946</v>
      </c>
      <c r="O76" s="124">
        <f t="shared" si="7"/>
        <v>90</v>
      </c>
      <c r="P76" s="116">
        <f t="shared" si="8"/>
        <v>3931.2850684931514</v>
      </c>
      <c r="Q76" s="117">
        <v>80450.59</v>
      </c>
      <c r="R76" s="118">
        <f t="shared" si="9"/>
        <v>76519.304931506849</v>
      </c>
    </row>
    <row r="77" spans="1:18" s="112" customFormat="1" ht="48.95" customHeight="1" x14ac:dyDescent="0.2">
      <c r="A77" s="99">
        <v>1</v>
      </c>
      <c r="B77" s="44" t="s">
        <v>62</v>
      </c>
      <c r="C77" s="110">
        <v>42550</v>
      </c>
      <c r="D77" s="69">
        <v>4416</v>
      </c>
      <c r="E77" s="90" t="s">
        <v>50</v>
      </c>
      <c r="F77" s="93" t="s">
        <v>21</v>
      </c>
      <c r="G77" s="93" t="s">
        <v>53</v>
      </c>
      <c r="H77" s="72">
        <v>88575.25</v>
      </c>
      <c r="I77" s="95">
        <f>8124.66+3931.29</f>
        <v>12055.95</v>
      </c>
      <c r="J77" s="66">
        <v>76519.3</v>
      </c>
      <c r="K77" s="112">
        <f t="shared" si="3"/>
        <v>8857.5249999999996</v>
      </c>
      <c r="L77" s="112">
        <f t="shared" si="4"/>
        <v>79717.725000000006</v>
      </c>
      <c r="M77" s="112">
        <f t="shared" si="5"/>
        <v>15943.545000000002</v>
      </c>
      <c r="N77" s="116">
        <f t="shared" si="10"/>
        <v>43.68094520547946</v>
      </c>
      <c r="O77" s="124">
        <f t="shared" si="7"/>
        <v>90</v>
      </c>
      <c r="P77" s="116">
        <f t="shared" si="8"/>
        <v>3931.2850684931514</v>
      </c>
      <c r="Q77" s="117">
        <v>80450.59</v>
      </c>
      <c r="R77" s="118">
        <f t="shared" si="9"/>
        <v>76519.304931506849</v>
      </c>
    </row>
    <row r="78" spans="1:18" s="112" customFormat="1" ht="48.95" customHeight="1" x14ac:dyDescent="0.2">
      <c r="A78" s="99">
        <v>1</v>
      </c>
      <c r="B78" s="44" t="s">
        <v>62</v>
      </c>
      <c r="C78" s="110">
        <v>42550</v>
      </c>
      <c r="D78" s="69">
        <v>4416</v>
      </c>
      <c r="E78" s="90" t="s">
        <v>50</v>
      </c>
      <c r="F78" s="93" t="s">
        <v>48</v>
      </c>
      <c r="G78" s="94" t="s">
        <v>49</v>
      </c>
      <c r="H78" s="72">
        <v>30766.25</v>
      </c>
      <c r="I78" s="96">
        <f>2822.07+1365.52</f>
        <v>4187.59</v>
      </c>
      <c r="J78" s="63">
        <v>26578.66</v>
      </c>
      <c r="K78" s="112">
        <f t="shared" si="3"/>
        <v>3076.625</v>
      </c>
      <c r="L78" s="112">
        <f t="shared" si="4"/>
        <v>27689.625</v>
      </c>
      <c r="M78" s="112">
        <f t="shared" si="5"/>
        <v>5537.9250000000002</v>
      </c>
      <c r="N78" s="116">
        <f t="shared" si="10"/>
        <v>15.172397260273973</v>
      </c>
      <c r="O78" s="124">
        <f t="shared" si="7"/>
        <v>90</v>
      </c>
      <c r="P78" s="116">
        <f t="shared" si="8"/>
        <v>1365.5157534246575</v>
      </c>
      <c r="Q78" s="117">
        <v>27944.18</v>
      </c>
      <c r="R78" s="118">
        <f t="shared" si="9"/>
        <v>26578.664246575343</v>
      </c>
    </row>
    <row r="79" spans="1:18" s="112" customFormat="1" ht="48.95" customHeight="1" x14ac:dyDescent="0.2">
      <c r="A79" s="99">
        <v>1</v>
      </c>
      <c r="B79" s="44" t="s">
        <v>62</v>
      </c>
      <c r="C79" s="110">
        <v>42550</v>
      </c>
      <c r="D79" s="69">
        <v>4416</v>
      </c>
      <c r="E79" s="90" t="s">
        <v>50</v>
      </c>
      <c r="F79" s="93" t="s">
        <v>48</v>
      </c>
      <c r="G79" s="94" t="s">
        <v>49</v>
      </c>
      <c r="H79" s="72">
        <v>30766.25</v>
      </c>
      <c r="I79" s="96">
        <f>2822.07+1365.52</f>
        <v>4187.59</v>
      </c>
      <c r="J79" s="63">
        <v>26578.66</v>
      </c>
      <c r="K79" s="112">
        <f t="shared" si="3"/>
        <v>3076.625</v>
      </c>
      <c r="L79" s="112">
        <f t="shared" si="4"/>
        <v>27689.625</v>
      </c>
      <c r="M79" s="112">
        <f t="shared" si="5"/>
        <v>5537.9250000000002</v>
      </c>
      <c r="N79" s="116">
        <f t="shared" si="10"/>
        <v>15.172397260273973</v>
      </c>
      <c r="O79" s="124">
        <f t="shared" si="7"/>
        <v>90</v>
      </c>
      <c r="P79" s="116">
        <f t="shared" si="8"/>
        <v>1365.5157534246575</v>
      </c>
      <c r="Q79" s="117">
        <v>27944.18</v>
      </c>
      <c r="R79" s="118">
        <f t="shared" si="9"/>
        <v>26578.664246575343</v>
      </c>
    </row>
    <row r="80" spans="1:18" s="112" customFormat="1" ht="48.95" customHeight="1" x14ac:dyDescent="0.2">
      <c r="A80" s="99">
        <v>1</v>
      </c>
      <c r="B80" s="44" t="s">
        <v>62</v>
      </c>
      <c r="C80" s="110">
        <v>42550</v>
      </c>
      <c r="D80" s="69">
        <v>4416</v>
      </c>
      <c r="E80" s="90" t="s">
        <v>51</v>
      </c>
      <c r="F80" s="93" t="s">
        <v>21</v>
      </c>
      <c r="G80" s="94" t="s">
        <v>52</v>
      </c>
      <c r="H80" s="72">
        <v>123942.75</v>
      </c>
      <c r="I80" s="96">
        <f>11368.78+5501.02</f>
        <v>16869.800000000003</v>
      </c>
      <c r="J80" s="63">
        <v>107072.95</v>
      </c>
      <c r="K80" s="112">
        <f t="shared" si="3"/>
        <v>12394.275000000001</v>
      </c>
      <c r="L80" s="112">
        <f t="shared" si="4"/>
        <v>111548.47500000001</v>
      </c>
      <c r="M80" s="112">
        <f t="shared" si="5"/>
        <v>22309.695000000003</v>
      </c>
      <c r="N80" s="116">
        <f t="shared" si="10"/>
        <v>61.122452054794529</v>
      </c>
      <c r="O80" s="124">
        <f t="shared" si="7"/>
        <v>90</v>
      </c>
      <c r="P80" s="116">
        <f t="shared" si="8"/>
        <v>5501.0206849315073</v>
      </c>
      <c r="Q80" s="117">
        <v>112573.97</v>
      </c>
      <c r="R80" s="118">
        <f t="shared" si="9"/>
        <v>107072.94931506849</v>
      </c>
    </row>
    <row r="81" spans="1:18" s="112" customFormat="1" ht="48.95" customHeight="1" x14ac:dyDescent="0.2">
      <c r="A81" s="99">
        <v>1</v>
      </c>
      <c r="B81" s="44" t="s">
        <v>62</v>
      </c>
      <c r="C81" s="110">
        <v>42550</v>
      </c>
      <c r="D81" s="69">
        <v>4416</v>
      </c>
      <c r="E81" s="90" t="s">
        <v>51</v>
      </c>
      <c r="F81" s="93" t="s">
        <v>21</v>
      </c>
      <c r="G81" s="94" t="s">
        <v>52</v>
      </c>
      <c r="H81" s="72">
        <v>123942.75</v>
      </c>
      <c r="I81" s="96">
        <f>11368.78+5501.02</f>
        <v>16869.800000000003</v>
      </c>
      <c r="J81" s="63">
        <v>107072.95</v>
      </c>
      <c r="K81" s="112">
        <f t="shared" si="3"/>
        <v>12394.275000000001</v>
      </c>
      <c r="L81" s="112">
        <f t="shared" si="4"/>
        <v>111548.47500000001</v>
      </c>
      <c r="M81" s="112">
        <f t="shared" si="5"/>
        <v>22309.695000000003</v>
      </c>
      <c r="N81" s="116">
        <f t="shared" si="10"/>
        <v>61.122452054794529</v>
      </c>
      <c r="O81" s="124">
        <f t="shared" si="7"/>
        <v>90</v>
      </c>
      <c r="P81" s="116">
        <f t="shared" si="8"/>
        <v>5501.0206849315073</v>
      </c>
      <c r="Q81" s="117">
        <v>112573.97</v>
      </c>
      <c r="R81" s="118">
        <f t="shared" si="9"/>
        <v>107072.94931506849</v>
      </c>
    </row>
    <row r="82" spans="1:18" s="112" customFormat="1" ht="48.75" customHeight="1" x14ac:dyDescent="0.2">
      <c r="A82" s="106">
        <v>1</v>
      </c>
      <c r="B82" s="103"/>
      <c r="C82" s="109">
        <v>42559</v>
      </c>
      <c r="D82" s="103" t="s">
        <v>70</v>
      </c>
      <c r="E82" s="104" t="s">
        <v>67</v>
      </c>
      <c r="F82" s="101" t="s">
        <v>68</v>
      </c>
      <c r="G82" s="107" t="s">
        <v>69</v>
      </c>
      <c r="H82" s="102">
        <v>24662.23</v>
      </c>
      <c r="I82" s="102">
        <f>2152.7+1094.6</f>
        <v>3247.2999999999997</v>
      </c>
      <c r="J82" s="63">
        <v>21414.93</v>
      </c>
      <c r="K82" s="112">
        <f t="shared" si="3"/>
        <v>2466.223</v>
      </c>
      <c r="L82" s="112">
        <f t="shared" si="4"/>
        <v>22196.006999999998</v>
      </c>
      <c r="M82" s="112">
        <f t="shared" si="5"/>
        <v>4439.2013999999999</v>
      </c>
      <c r="N82" s="116">
        <f t="shared" si="10"/>
        <v>12.162195616438355</v>
      </c>
      <c r="O82" s="124">
        <f t="shared" si="7"/>
        <v>90</v>
      </c>
      <c r="P82" s="116">
        <f t="shared" si="8"/>
        <v>1094.5976054794519</v>
      </c>
      <c r="Q82" s="117">
        <v>22509.53</v>
      </c>
      <c r="R82" s="118">
        <f t="shared" si="9"/>
        <v>21414.932394520547</v>
      </c>
    </row>
    <row r="83" spans="1:18" s="112" customFormat="1" ht="30" customHeight="1" x14ac:dyDescent="0.2">
      <c r="A83" s="111">
        <v>1</v>
      </c>
      <c r="B83" s="103"/>
      <c r="C83" s="109">
        <v>42634</v>
      </c>
      <c r="D83" s="69">
        <v>4657</v>
      </c>
      <c r="E83" s="104" t="s">
        <v>74</v>
      </c>
      <c r="F83" s="101" t="s">
        <v>24</v>
      </c>
      <c r="G83" s="107" t="s">
        <v>73</v>
      </c>
      <c r="H83" s="102">
        <v>31743</v>
      </c>
      <c r="I83" s="102">
        <f>1596.75+1408.87</f>
        <v>3005.62</v>
      </c>
      <c r="J83" s="63">
        <v>28737.38</v>
      </c>
      <c r="K83" s="112">
        <f t="shared" si="3"/>
        <v>3174.3</v>
      </c>
      <c r="L83" s="112">
        <f t="shared" si="4"/>
        <v>28568.7</v>
      </c>
      <c r="M83" s="112">
        <f t="shared" si="5"/>
        <v>5713.7400000000007</v>
      </c>
      <c r="N83" s="116">
        <f t="shared" si="10"/>
        <v>15.654082191780823</v>
      </c>
      <c r="O83" s="124">
        <f t="shared" si="7"/>
        <v>90</v>
      </c>
      <c r="P83" s="116">
        <f t="shared" si="8"/>
        <v>1408.8673972602742</v>
      </c>
      <c r="Q83" s="117">
        <v>30146.25</v>
      </c>
      <c r="R83" s="118">
        <f t="shared" si="9"/>
        <v>28737.382602739726</v>
      </c>
    </row>
    <row r="84" spans="1:18" s="112" customFormat="1" ht="30" customHeight="1" x14ac:dyDescent="0.2">
      <c r="A84" s="111">
        <v>1</v>
      </c>
      <c r="B84" s="103"/>
      <c r="C84" s="109">
        <v>42634</v>
      </c>
      <c r="D84" s="69">
        <v>4657</v>
      </c>
      <c r="E84" s="104" t="s">
        <v>74</v>
      </c>
      <c r="F84" s="101" t="s">
        <v>24</v>
      </c>
      <c r="G84" s="107" t="s">
        <v>73</v>
      </c>
      <c r="H84" s="102">
        <v>31743</v>
      </c>
      <c r="I84" s="102">
        <f t="shared" ref="I84:I90" si="11">1596.75+1408.87</f>
        <v>3005.62</v>
      </c>
      <c r="J84" s="63">
        <v>28737.38</v>
      </c>
      <c r="K84" s="112">
        <f t="shared" si="3"/>
        <v>3174.3</v>
      </c>
      <c r="L84" s="112">
        <f t="shared" si="4"/>
        <v>28568.7</v>
      </c>
      <c r="M84" s="112">
        <f t="shared" si="5"/>
        <v>5713.7400000000007</v>
      </c>
      <c r="N84" s="116">
        <f t="shared" si="10"/>
        <v>15.654082191780823</v>
      </c>
      <c r="O84" s="124">
        <f t="shared" si="7"/>
        <v>90</v>
      </c>
      <c r="P84" s="116">
        <f t="shared" si="8"/>
        <v>1408.8673972602742</v>
      </c>
      <c r="Q84" s="117">
        <v>30146.25</v>
      </c>
      <c r="R84" s="118">
        <f t="shared" si="9"/>
        <v>28737.382602739726</v>
      </c>
    </row>
    <row r="85" spans="1:18" s="112" customFormat="1" ht="30" customHeight="1" x14ac:dyDescent="0.2">
      <c r="A85" s="111">
        <v>1</v>
      </c>
      <c r="B85" s="103"/>
      <c r="C85" s="109">
        <v>42634</v>
      </c>
      <c r="D85" s="69">
        <v>4657</v>
      </c>
      <c r="E85" s="104" t="s">
        <v>74</v>
      </c>
      <c r="F85" s="101" t="s">
        <v>24</v>
      </c>
      <c r="G85" s="107" t="s">
        <v>73</v>
      </c>
      <c r="H85" s="102">
        <v>31743</v>
      </c>
      <c r="I85" s="102">
        <f t="shared" si="11"/>
        <v>3005.62</v>
      </c>
      <c r="J85" s="63">
        <v>28737.38</v>
      </c>
      <c r="K85" s="112">
        <f t="shared" si="3"/>
        <v>3174.3</v>
      </c>
      <c r="L85" s="112">
        <f t="shared" si="4"/>
        <v>28568.7</v>
      </c>
      <c r="M85" s="112">
        <f t="shared" si="5"/>
        <v>5713.7400000000007</v>
      </c>
      <c r="N85" s="116">
        <f t="shared" si="10"/>
        <v>15.654082191780823</v>
      </c>
      <c r="O85" s="124">
        <f t="shared" si="7"/>
        <v>90</v>
      </c>
      <c r="P85" s="116">
        <f t="shared" si="8"/>
        <v>1408.8673972602742</v>
      </c>
      <c r="Q85" s="117">
        <v>30146.25</v>
      </c>
      <c r="R85" s="118">
        <f t="shared" si="9"/>
        <v>28737.382602739726</v>
      </c>
    </row>
    <row r="86" spans="1:18" s="112" customFormat="1" ht="30" customHeight="1" x14ac:dyDescent="0.2">
      <c r="A86" s="111">
        <v>1</v>
      </c>
      <c r="B86" s="103"/>
      <c r="C86" s="109">
        <v>42634</v>
      </c>
      <c r="D86" s="69">
        <v>4657</v>
      </c>
      <c r="E86" s="104" t="s">
        <v>74</v>
      </c>
      <c r="F86" s="101" t="s">
        <v>24</v>
      </c>
      <c r="G86" s="107" t="s">
        <v>73</v>
      </c>
      <c r="H86" s="102">
        <v>31743</v>
      </c>
      <c r="I86" s="102">
        <f t="shared" si="11"/>
        <v>3005.62</v>
      </c>
      <c r="J86" s="63">
        <v>28737.38</v>
      </c>
      <c r="K86" s="112">
        <f t="shared" si="3"/>
        <v>3174.3</v>
      </c>
      <c r="L86" s="112">
        <f t="shared" si="4"/>
        <v>28568.7</v>
      </c>
      <c r="M86" s="112">
        <f t="shared" si="5"/>
        <v>5713.7400000000007</v>
      </c>
      <c r="N86" s="116">
        <f t="shared" si="10"/>
        <v>15.654082191780823</v>
      </c>
      <c r="O86" s="124">
        <f t="shared" si="7"/>
        <v>90</v>
      </c>
      <c r="P86" s="116">
        <f t="shared" si="8"/>
        <v>1408.8673972602742</v>
      </c>
      <c r="Q86" s="117">
        <v>30146.25</v>
      </c>
      <c r="R86" s="118">
        <f t="shared" si="9"/>
        <v>28737.382602739726</v>
      </c>
    </row>
    <row r="87" spans="1:18" s="112" customFormat="1" ht="30" customHeight="1" x14ac:dyDescent="0.2">
      <c r="A87" s="111">
        <v>1</v>
      </c>
      <c r="B87" s="103"/>
      <c r="C87" s="109">
        <v>42634</v>
      </c>
      <c r="D87" s="69">
        <v>4657</v>
      </c>
      <c r="E87" s="104" t="s">
        <v>74</v>
      </c>
      <c r="F87" s="101" t="s">
        <v>24</v>
      </c>
      <c r="G87" s="107" t="s">
        <v>73</v>
      </c>
      <c r="H87" s="102">
        <v>31743</v>
      </c>
      <c r="I87" s="102">
        <f t="shared" si="11"/>
        <v>3005.62</v>
      </c>
      <c r="J87" s="63">
        <v>28737.38</v>
      </c>
      <c r="K87" s="112">
        <f t="shared" si="3"/>
        <v>3174.3</v>
      </c>
      <c r="L87" s="112">
        <f t="shared" si="4"/>
        <v>28568.7</v>
      </c>
      <c r="M87" s="112">
        <f t="shared" si="5"/>
        <v>5713.7400000000007</v>
      </c>
      <c r="N87" s="116">
        <f t="shared" si="10"/>
        <v>15.654082191780823</v>
      </c>
      <c r="O87" s="124">
        <f t="shared" si="7"/>
        <v>90</v>
      </c>
      <c r="P87" s="116">
        <f t="shared" si="8"/>
        <v>1408.8673972602742</v>
      </c>
      <c r="Q87" s="117">
        <v>30146.25</v>
      </c>
      <c r="R87" s="118">
        <f t="shared" si="9"/>
        <v>28737.382602739726</v>
      </c>
    </row>
    <row r="88" spans="1:18" s="112" customFormat="1" ht="30" customHeight="1" x14ac:dyDescent="0.2">
      <c r="A88" s="111">
        <v>1</v>
      </c>
      <c r="B88" s="103"/>
      <c r="C88" s="109">
        <v>42634</v>
      </c>
      <c r="D88" s="69">
        <v>4657</v>
      </c>
      <c r="E88" s="104" t="s">
        <v>74</v>
      </c>
      <c r="F88" s="101" t="s">
        <v>24</v>
      </c>
      <c r="G88" s="107" t="s">
        <v>73</v>
      </c>
      <c r="H88" s="102">
        <v>31743</v>
      </c>
      <c r="I88" s="102">
        <f t="shared" si="11"/>
        <v>3005.62</v>
      </c>
      <c r="J88" s="63">
        <v>28737.38</v>
      </c>
      <c r="K88" s="112">
        <f t="shared" si="3"/>
        <v>3174.3</v>
      </c>
      <c r="L88" s="112">
        <f t="shared" si="4"/>
        <v>28568.7</v>
      </c>
      <c r="M88" s="112">
        <f t="shared" si="5"/>
        <v>5713.7400000000007</v>
      </c>
      <c r="N88" s="116">
        <f t="shared" si="10"/>
        <v>15.654082191780823</v>
      </c>
      <c r="O88" s="124">
        <f t="shared" si="7"/>
        <v>90</v>
      </c>
      <c r="P88" s="116">
        <f t="shared" si="8"/>
        <v>1408.8673972602742</v>
      </c>
      <c r="Q88" s="117">
        <v>30146.25</v>
      </c>
      <c r="R88" s="118">
        <f t="shared" si="9"/>
        <v>28737.382602739726</v>
      </c>
    </row>
    <row r="89" spans="1:18" s="112" customFormat="1" ht="30" customHeight="1" x14ac:dyDescent="0.2">
      <c r="A89" s="111">
        <v>1</v>
      </c>
      <c r="B89" s="103"/>
      <c r="C89" s="109">
        <v>42634</v>
      </c>
      <c r="D89" s="69">
        <v>4657</v>
      </c>
      <c r="E89" s="104" t="s">
        <v>74</v>
      </c>
      <c r="F89" s="101" t="s">
        <v>24</v>
      </c>
      <c r="G89" s="107" t="s">
        <v>73</v>
      </c>
      <c r="H89" s="102">
        <v>31743</v>
      </c>
      <c r="I89" s="102">
        <f t="shared" si="11"/>
        <v>3005.62</v>
      </c>
      <c r="J89" s="63">
        <v>28737.38</v>
      </c>
      <c r="K89" s="112">
        <f t="shared" si="3"/>
        <v>3174.3</v>
      </c>
      <c r="L89" s="112">
        <f t="shared" si="4"/>
        <v>28568.7</v>
      </c>
      <c r="M89" s="112">
        <f t="shared" si="5"/>
        <v>5713.7400000000007</v>
      </c>
      <c r="N89" s="116">
        <f t="shared" si="10"/>
        <v>15.654082191780823</v>
      </c>
      <c r="O89" s="124">
        <f t="shared" si="7"/>
        <v>90</v>
      </c>
      <c r="P89" s="116">
        <f t="shared" si="8"/>
        <v>1408.8673972602742</v>
      </c>
      <c r="Q89" s="117">
        <v>30146.25</v>
      </c>
      <c r="R89" s="118">
        <f t="shared" si="9"/>
        <v>28737.382602739726</v>
      </c>
    </row>
    <row r="90" spans="1:18" s="112" customFormat="1" ht="30" customHeight="1" x14ac:dyDescent="0.2">
      <c r="A90" s="111">
        <v>1</v>
      </c>
      <c r="B90" s="103"/>
      <c r="C90" s="109">
        <v>42634</v>
      </c>
      <c r="D90" s="69">
        <v>4657</v>
      </c>
      <c r="E90" s="104" t="s">
        <v>74</v>
      </c>
      <c r="F90" s="101" t="s">
        <v>24</v>
      </c>
      <c r="G90" s="107" t="s">
        <v>73</v>
      </c>
      <c r="H90" s="102">
        <v>31743</v>
      </c>
      <c r="I90" s="102">
        <f t="shared" si="11"/>
        <v>3005.62</v>
      </c>
      <c r="J90" s="63">
        <v>28737.38</v>
      </c>
      <c r="K90" s="112">
        <f t="shared" si="3"/>
        <v>3174.3</v>
      </c>
      <c r="L90" s="112">
        <f t="shared" si="4"/>
        <v>28568.7</v>
      </c>
      <c r="M90" s="112">
        <f t="shared" si="5"/>
        <v>5713.7400000000007</v>
      </c>
      <c r="N90" s="116">
        <f t="shared" si="10"/>
        <v>15.654082191780823</v>
      </c>
      <c r="O90" s="124">
        <f t="shared" si="7"/>
        <v>90</v>
      </c>
      <c r="P90" s="116">
        <f t="shared" si="8"/>
        <v>1408.8673972602742</v>
      </c>
      <c r="Q90" s="117">
        <v>30146.25</v>
      </c>
      <c r="R90" s="118">
        <f t="shared" si="9"/>
        <v>28737.382602739726</v>
      </c>
    </row>
    <row r="91" spans="1:18" s="112" customFormat="1" ht="48.95" customHeight="1" x14ac:dyDescent="0.2">
      <c r="A91" s="111">
        <v>1</v>
      </c>
      <c r="B91" s="103"/>
      <c r="C91" s="109">
        <v>42634</v>
      </c>
      <c r="D91" s="69">
        <v>4658</v>
      </c>
      <c r="E91" s="104" t="s">
        <v>75</v>
      </c>
      <c r="F91" s="101" t="s">
        <v>24</v>
      </c>
      <c r="G91" s="107" t="s">
        <v>72</v>
      </c>
      <c r="H91" s="102">
        <v>37805</v>
      </c>
      <c r="I91" s="102">
        <f>1901.65+1677.92</f>
        <v>3579.57</v>
      </c>
      <c r="J91" s="63">
        <v>34225.43</v>
      </c>
      <c r="K91" s="112">
        <f t="shared" si="3"/>
        <v>3780.5</v>
      </c>
      <c r="L91" s="112">
        <f t="shared" si="4"/>
        <v>34024.5</v>
      </c>
      <c r="M91" s="112">
        <f t="shared" si="5"/>
        <v>6804.9000000000005</v>
      </c>
      <c r="N91" s="116">
        <f t="shared" si="10"/>
        <v>18.643561643835618</v>
      </c>
      <c r="O91" s="124">
        <f t="shared" si="7"/>
        <v>90</v>
      </c>
      <c r="P91" s="116">
        <f t="shared" si="8"/>
        <v>1677.9205479452055</v>
      </c>
      <c r="Q91" s="117">
        <v>35903.35</v>
      </c>
      <c r="R91" s="118">
        <f t="shared" si="9"/>
        <v>34225.429452054792</v>
      </c>
    </row>
    <row r="92" spans="1:18" s="112" customFormat="1" ht="48.95" customHeight="1" x14ac:dyDescent="0.2">
      <c r="A92" s="111">
        <v>1</v>
      </c>
      <c r="B92" s="103"/>
      <c r="C92" s="109">
        <v>42634</v>
      </c>
      <c r="D92" s="69">
        <v>4658</v>
      </c>
      <c r="E92" s="104" t="s">
        <v>76</v>
      </c>
      <c r="F92" s="101" t="s">
        <v>24</v>
      </c>
      <c r="G92" s="107" t="s">
        <v>72</v>
      </c>
      <c r="H92" s="102">
        <v>37805</v>
      </c>
      <c r="I92" s="102">
        <f>1901.65+1677.92</f>
        <v>3579.57</v>
      </c>
      <c r="J92" s="63">
        <v>34225.43</v>
      </c>
      <c r="K92" s="112">
        <f t="shared" si="3"/>
        <v>3780.5</v>
      </c>
      <c r="L92" s="112">
        <f t="shared" si="4"/>
        <v>34024.5</v>
      </c>
      <c r="M92" s="112">
        <f t="shared" si="5"/>
        <v>6804.9000000000005</v>
      </c>
      <c r="N92" s="116">
        <f t="shared" si="10"/>
        <v>18.643561643835618</v>
      </c>
      <c r="O92" s="124">
        <f t="shared" si="7"/>
        <v>90</v>
      </c>
      <c r="P92" s="116">
        <f t="shared" si="8"/>
        <v>1677.9205479452055</v>
      </c>
      <c r="Q92" s="117">
        <v>35903.35</v>
      </c>
      <c r="R92" s="118">
        <f t="shared" si="9"/>
        <v>34225.429452054792</v>
      </c>
    </row>
    <row r="93" spans="1:18" s="112" customFormat="1" ht="30" customHeight="1" x14ac:dyDescent="0.2">
      <c r="A93" s="111">
        <v>1</v>
      </c>
      <c r="B93" s="103"/>
      <c r="C93" s="109">
        <v>42634</v>
      </c>
      <c r="D93" s="69">
        <v>4658</v>
      </c>
      <c r="E93" s="104" t="s">
        <v>77</v>
      </c>
      <c r="F93" s="101" t="s">
        <v>24</v>
      </c>
      <c r="G93" s="107" t="s">
        <v>71</v>
      </c>
      <c r="H93" s="102">
        <v>37805</v>
      </c>
      <c r="I93" s="102">
        <f>1901.65+1677.92</f>
        <v>3579.57</v>
      </c>
      <c r="J93" s="63">
        <v>34225.43</v>
      </c>
      <c r="K93" s="112">
        <f t="shared" si="3"/>
        <v>3780.5</v>
      </c>
      <c r="L93" s="112">
        <f t="shared" si="4"/>
        <v>34024.5</v>
      </c>
      <c r="M93" s="112">
        <f t="shared" si="5"/>
        <v>6804.9000000000005</v>
      </c>
      <c r="N93" s="116">
        <f t="shared" si="10"/>
        <v>18.643561643835618</v>
      </c>
      <c r="O93" s="124">
        <f t="shared" si="7"/>
        <v>90</v>
      </c>
      <c r="P93" s="116">
        <f t="shared" si="8"/>
        <v>1677.9205479452055</v>
      </c>
      <c r="Q93" s="117">
        <v>35903.35</v>
      </c>
      <c r="R93" s="118">
        <f t="shared" si="9"/>
        <v>34225.429452054792</v>
      </c>
    </row>
    <row r="94" spans="1:18" s="112" customFormat="1" ht="30" customHeight="1" x14ac:dyDescent="0.2">
      <c r="A94" s="111">
        <v>1</v>
      </c>
      <c r="B94" s="103"/>
      <c r="C94" s="109">
        <v>42634</v>
      </c>
      <c r="D94" s="69">
        <v>4658</v>
      </c>
      <c r="E94" s="104" t="s">
        <v>77</v>
      </c>
      <c r="F94" s="101" t="s">
        <v>24</v>
      </c>
      <c r="G94" s="107" t="s">
        <v>71</v>
      </c>
      <c r="H94" s="102">
        <v>37805</v>
      </c>
      <c r="I94" s="102">
        <f>1901.65+1677.92</f>
        <v>3579.57</v>
      </c>
      <c r="J94" s="63">
        <v>34225.43</v>
      </c>
      <c r="K94" s="112">
        <f t="shared" si="3"/>
        <v>3780.5</v>
      </c>
      <c r="L94" s="112">
        <f t="shared" si="4"/>
        <v>34024.5</v>
      </c>
      <c r="M94" s="112">
        <f t="shared" si="5"/>
        <v>6804.9000000000005</v>
      </c>
      <c r="N94" s="116">
        <f t="shared" si="10"/>
        <v>18.643561643835618</v>
      </c>
      <c r="O94" s="124">
        <f t="shared" si="7"/>
        <v>90</v>
      </c>
      <c r="P94" s="116">
        <f t="shared" si="8"/>
        <v>1677.9205479452055</v>
      </c>
      <c r="Q94" s="117">
        <v>35903.35</v>
      </c>
      <c r="R94" s="118">
        <f t="shared" si="9"/>
        <v>34225.429452054792</v>
      </c>
    </row>
    <row r="95" spans="1:18" s="112" customFormat="1" ht="25.5" x14ac:dyDescent="0.2">
      <c r="A95" s="122"/>
      <c r="B95" s="48"/>
      <c r="C95" s="20"/>
      <c r="D95" s="20"/>
      <c r="E95" s="59"/>
      <c r="H95" s="19"/>
      <c r="I95" s="19"/>
      <c r="J95" s="19"/>
      <c r="O95" s="123"/>
    </row>
    <row r="96" spans="1:18" s="112" customFormat="1" ht="25.5" x14ac:dyDescent="0.2">
      <c r="A96" s="40"/>
      <c r="B96" s="48"/>
      <c r="C96" s="20"/>
      <c r="D96" s="20"/>
      <c r="E96" s="59"/>
      <c r="H96" s="19"/>
      <c r="I96" s="19"/>
      <c r="J96" s="19"/>
      <c r="O96" s="123"/>
    </row>
    <row r="97" spans="1:15" s="112" customFormat="1" ht="25.5" x14ac:dyDescent="0.2">
      <c r="A97" s="40"/>
      <c r="B97" s="48"/>
      <c r="C97" s="20"/>
      <c r="D97" s="20"/>
      <c r="E97" s="59"/>
      <c r="H97" s="19"/>
      <c r="I97" s="19"/>
      <c r="J97" s="19"/>
      <c r="O97" s="123"/>
    </row>
    <row r="98" spans="1:15" s="112" customFormat="1" ht="25.5" x14ac:dyDescent="0.2">
      <c r="A98" s="40"/>
      <c r="B98" s="48"/>
      <c r="C98" s="20"/>
      <c r="D98" s="20"/>
      <c r="E98" s="59"/>
      <c r="H98" s="19"/>
      <c r="I98" s="19"/>
      <c r="J98" s="19"/>
      <c r="O98" s="123"/>
    </row>
    <row r="99" spans="1:15" ht="24" thickBot="1" x14ac:dyDescent="0.4">
      <c r="A99" s="40"/>
      <c r="B99" s="588" t="s">
        <v>41</v>
      </c>
      <c r="C99" s="588"/>
      <c r="D99" s="588"/>
      <c r="E99" s="588"/>
      <c r="F99" s="588"/>
      <c r="G99" s="588"/>
      <c r="H99" s="588"/>
      <c r="I99" s="588"/>
      <c r="J99" s="49"/>
      <c r="O99" s="126"/>
    </row>
    <row r="100" spans="1:15" ht="23.25" x14ac:dyDescent="0.3">
      <c r="A100" s="40"/>
      <c r="B100" s="589" t="s">
        <v>7</v>
      </c>
      <c r="C100" s="589"/>
      <c r="D100" s="589"/>
      <c r="E100" s="589"/>
      <c r="F100" s="589"/>
      <c r="G100" s="589"/>
      <c r="H100" s="589"/>
      <c r="I100" s="589"/>
      <c r="J100" s="49"/>
      <c r="O100" s="126"/>
    </row>
    <row r="101" spans="1:15" ht="23.25" x14ac:dyDescent="0.35">
      <c r="A101" s="40"/>
      <c r="B101" s="590" t="s">
        <v>8</v>
      </c>
      <c r="C101" s="590"/>
      <c r="D101" s="590"/>
      <c r="E101" s="590"/>
      <c r="F101" s="590"/>
      <c r="G101" s="590"/>
      <c r="H101" s="590"/>
      <c r="I101" s="590"/>
      <c r="J101" s="113"/>
      <c r="O101" s="126"/>
    </row>
    <row r="102" spans="1:15" ht="23.25" x14ac:dyDescent="0.35">
      <c r="A102" s="40"/>
      <c r="B102" s="590" t="s">
        <v>9</v>
      </c>
      <c r="C102" s="590"/>
      <c r="D102" s="590"/>
      <c r="E102" s="590"/>
      <c r="F102" s="590"/>
      <c r="G102" s="590"/>
      <c r="H102" s="590"/>
      <c r="I102" s="590"/>
      <c r="J102" s="50"/>
      <c r="O102" s="126"/>
    </row>
    <row r="103" spans="1:15" ht="23.25" x14ac:dyDescent="0.35">
      <c r="A103" s="40"/>
      <c r="B103" s="113"/>
      <c r="C103" s="113"/>
      <c r="D103" s="113"/>
      <c r="E103" s="113"/>
      <c r="F103" s="113"/>
      <c r="G103" s="113"/>
      <c r="H103" s="113"/>
      <c r="I103" s="113"/>
      <c r="J103" s="50"/>
      <c r="O103" s="126"/>
    </row>
    <row r="104" spans="1:15" ht="23.25" x14ac:dyDescent="0.35">
      <c r="A104" s="40"/>
      <c r="B104" s="51"/>
      <c r="C104" s="51"/>
      <c r="D104" s="51"/>
      <c r="E104" s="51"/>
      <c r="F104" s="51"/>
      <c r="G104" s="51"/>
      <c r="H104" s="51"/>
      <c r="I104" s="51"/>
      <c r="J104" s="52"/>
      <c r="O104" s="126"/>
    </row>
    <row r="105" spans="1:15" x14ac:dyDescent="0.3">
      <c r="O105" s="126"/>
    </row>
    <row r="106" spans="1:15" x14ac:dyDescent="0.3">
      <c r="O106" s="126"/>
    </row>
  </sheetData>
  <mergeCells count="13">
    <mergeCell ref="A57:J57"/>
    <mergeCell ref="A58:J58"/>
    <mergeCell ref="B99:I99"/>
    <mergeCell ref="B100:I100"/>
    <mergeCell ref="B101:I101"/>
    <mergeCell ref="B102:I102"/>
    <mergeCell ref="A10:J10"/>
    <mergeCell ref="A11:J11"/>
    <mergeCell ref="B42:I42"/>
    <mergeCell ref="B43:I43"/>
    <mergeCell ref="B44:I44"/>
    <mergeCell ref="B45:I45"/>
    <mergeCell ref="C27:J27"/>
  </mergeCells>
  <printOptions horizontalCentered="1"/>
  <pageMargins left="0.15748031496062992" right="0.15748031496062992" top="0.27559055118110237" bottom="0.23622047244094491" header="0" footer="0"/>
  <pageSetup scale="4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9"/>
  <sheetViews>
    <sheetView topLeftCell="A2" zoomScale="50" zoomScaleNormal="50" zoomScalePageLayoutView="75" workbookViewId="0">
      <selection activeCell="Y44" sqref="Y44"/>
    </sheetView>
  </sheetViews>
  <sheetFormatPr baseColWidth="10" defaultRowHeight="21.75" x14ac:dyDescent="0.3"/>
  <cols>
    <col min="1" max="1" width="21.140625" style="337" customWidth="1"/>
    <col min="2" max="2" width="28" style="337" customWidth="1"/>
    <col min="3" max="3" width="21.5703125" style="338" customWidth="1"/>
    <col min="4" max="4" width="25.28515625" style="338" customWidth="1"/>
    <col min="5" max="5" width="49.140625" style="338" customWidth="1"/>
    <col min="6" max="6" width="27.28515625" style="337" customWidth="1"/>
    <col min="7" max="7" width="33.28515625" style="337" customWidth="1"/>
    <col min="8" max="8" width="27.140625" style="339" customWidth="1"/>
    <col min="9" max="9" width="31.28515625" style="340" customWidth="1"/>
    <col min="10" max="10" width="23.140625" style="341" customWidth="1"/>
    <col min="11" max="13" width="20.7109375" style="342" hidden="1" customWidth="1"/>
    <col min="14" max="15" width="20.7109375" style="343" hidden="1" customWidth="1"/>
    <col min="16" max="17" width="23.42578125" style="343" hidden="1" customWidth="1"/>
    <col min="18" max="18" width="21.28515625" style="343" hidden="1" customWidth="1"/>
    <col min="19" max="19" width="11.42578125" style="343" hidden="1" customWidth="1"/>
    <col min="20" max="20" width="32" style="343" hidden="1" customWidth="1"/>
    <col min="21" max="21" width="23.7109375" style="343" hidden="1" customWidth="1"/>
    <col min="22" max="22" width="21.42578125" style="343" hidden="1" customWidth="1"/>
    <col min="23" max="23" width="22.85546875" style="343" hidden="1" customWidth="1"/>
    <col min="24" max="24" width="11.42578125" style="343" customWidth="1"/>
    <col min="25" max="25" width="17.42578125" style="343" customWidth="1"/>
    <col min="26" max="28" width="11.42578125" style="343" customWidth="1"/>
    <col min="29" max="34" width="27.42578125" style="343" customWidth="1"/>
    <col min="35" max="16384" width="11.42578125" style="343"/>
  </cols>
  <sheetData>
    <row r="1" spans="1:26" s="352" customFormat="1" ht="24.95" customHeight="1" x14ac:dyDescent="0.35">
      <c r="A1" s="344" t="s">
        <v>4</v>
      </c>
      <c r="B1" s="345"/>
      <c r="C1" s="346"/>
      <c r="D1" s="346"/>
      <c r="E1" s="347"/>
      <c r="F1" s="348"/>
      <c r="G1" s="348"/>
      <c r="H1" s="349"/>
      <c r="I1" s="350"/>
      <c r="J1" s="351"/>
      <c r="K1" s="342"/>
      <c r="L1" s="342"/>
      <c r="M1" s="342"/>
    </row>
    <row r="2" spans="1:26" s="352" customFormat="1" ht="24.95" customHeight="1" x14ac:dyDescent="0.35">
      <c r="A2" s="344" t="s">
        <v>5</v>
      </c>
      <c r="B2" s="345"/>
      <c r="C2" s="346"/>
      <c r="D2" s="346"/>
      <c r="E2" s="353"/>
      <c r="F2" s="348"/>
      <c r="G2" s="348"/>
      <c r="H2" s="349"/>
      <c r="I2" s="354"/>
      <c r="J2" s="351"/>
      <c r="K2" s="342"/>
      <c r="L2" s="342"/>
      <c r="M2" s="342"/>
    </row>
    <row r="3" spans="1:26" s="352" customFormat="1" ht="23.25" x14ac:dyDescent="0.35">
      <c r="A3" s="345"/>
      <c r="B3" s="345"/>
      <c r="C3" s="346"/>
      <c r="D3" s="346"/>
      <c r="E3" s="353"/>
      <c r="F3" s="348"/>
      <c r="G3" s="348"/>
      <c r="H3" s="349"/>
      <c r="I3" s="354"/>
      <c r="J3" s="351"/>
      <c r="K3" s="342"/>
      <c r="L3" s="342"/>
      <c r="M3" s="342"/>
    </row>
    <row r="4" spans="1:26" s="352" customFormat="1" ht="30" customHeight="1" x14ac:dyDescent="0.35">
      <c r="A4" s="596" t="s">
        <v>134</v>
      </c>
      <c r="B4" s="596"/>
      <c r="C4" s="596"/>
      <c r="D4" s="596"/>
      <c r="E4" s="596"/>
      <c r="F4" s="596"/>
      <c r="G4" s="596"/>
      <c r="H4" s="596"/>
      <c r="I4" s="596"/>
      <c r="J4" s="596"/>
      <c r="K4" s="342"/>
      <c r="L4" s="342"/>
      <c r="M4" s="342"/>
    </row>
    <row r="5" spans="1:26" s="352" customFormat="1" ht="30" customHeight="1" x14ac:dyDescent="0.35">
      <c r="A5" s="596" t="s">
        <v>10</v>
      </c>
      <c r="B5" s="596"/>
      <c r="C5" s="596"/>
      <c r="D5" s="596"/>
      <c r="E5" s="596"/>
      <c r="F5" s="596"/>
      <c r="G5" s="596"/>
      <c r="H5" s="596"/>
      <c r="I5" s="596"/>
      <c r="J5" s="596"/>
      <c r="K5" s="342"/>
      <c r="L5" s="342"/>
      <c r="M5" s="342"/>
    </row>
    <row r="6" spans="1:26" s="352" customFormat="1" ht="30" customHeight="1" x14ac:dyDescent="0.35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42"/>
      <c r="L6" s="342"/>
      <c r="M6" s="342"/>
    </row>
    <row r="7" spans="1:26" s="352" customFormat="1" ht="41.25" customHeight="1" x14ac:dyDescent="0.35">
      <c r="A7" s="359" t="s">
        <v>3</v>
      </c>
      <c r="B7" s="360"/>
      <c r="C7" s="361"/>
      <c r="D7" s="361"/>
      <c r="E7" s="346"/>
      <c r="F7" s="362"/>
      <c r="G7" s="362"/>
      <c r="H7" s="363"/>
      <c r="I7" s="364"/>
      <c r="J7" s="365"/>
      <c r="K7" s="342"/>
      <c r="L7" s="342"/>
      <c r="M7" s="342"/>
    </row>
    <row r="8" spans="1:26" s="352" customFormat="1" ht="41.25" customHeight="1" thickBot="1" x14ac:dyDescent="0.4">
      <c r="A8" s="359"/>
      <c r="B8" s="360"/>
      <c r="C8" s="361"/>
      <c r="D8" s="361"/>
      <c r="E8" s="346"/>
      <c r="F8" s="362"/>
      <c r="G8" s="362"/>
      <c r="H8" s="363"/>
      <c r="I8" s="364"/>
      <c r="J8" s="365"/>
      <c r="K8" s="342"/>
      <c r="L8" s="342"/>
      <c r="M8" s="342"/>
    </row>
    <row r="9" spans="1:26" s="374" customFormat="1" ht="102.75" customHeight="1" thickTop="1" thickBot="1" x14ac:dyDescent="0.35">
      <c r="A9" s="369" t="s">
        <v>6</v>
      </c>
      <c r="B9" s="370" t="s">
        <v>0</v>
      </c>
      <c r="C9" s="370" t="s">
        <v>11</v>
      </c>
      <c r="D9" s="370" t="s">
        <v>45</v>
      </c>
      <c r="E9" s="370" t="s">
        <v>1</v>
      </c>
      <c r="F9" s="370" t="s">
        <v>16</v>
      </c>
      <c r="G9" s="370" t="s">
        <v>17</v>
      </c>
      <c r="H9" s="371" t="s">
        <v>15</v>
      </c>
      <c r="I9" s="371" t="s">
        <v>135</v>
      </c>
      <c r="J9" s="372" t="s">
        <v>12</v>
      </c>
      <c r="K9" s="342"/>
      <c r="L9" s="342"/>
      <c r="M9" s="342"/>
      <c r="N9" s="373" t="s">
        <v>87</v>
      </c>
      <c r="O9" s="373" t="s">
        <v>86</v>
      </c>
    </row>
    <row r="10" spans="1:26" s="382" customFormat="1" ht="55.5" customHeight="1" thickTop="1" x14ac:dyDescent="0.35">
      <c r="A10" s="375">
        <v>1</v>
      </c>
      <c r="B10" s="376" t="s">
        <v>39</v>
      </c>
      <c r="C10" s="377">
        <v>35767</v>
      </c>
      <c r="D10" s="377" t="s">
        <v>54</v>
      </c>
      <c r="E10" s="378" t="s">
        <v>29</v>
      </c>
      <c r="F10" s="379" t="s">
        <v>18</v>
      </c>
      <c r="G10" s="379" t="s">
        <v>19</v>
      </c>
      <c r="H10" s="380">
        <v>373714.28</v>
      </c>
      <c r="I10" s="380">
        <v>336342.85</v>
      </c>
      <c r="J10" s="381">
        <f>ROUNDUP((H10-I10),2)</f>
        <v>37371.440000000002</v>
      </c>
      <c r="K10" s="342"/>
      <c r="N10" s="383"/>
    </row>
    <row r="11" spans="1:26" s="391" customFormat="1" ht="38.1" customHeight="1" x14ac:dyDescent="0.3">
      <c r="A11" s="384">
        <v>1</v>
      </c>
      <c r="B11" s="385" t="s">
        <v>38</v>
      </c>
      <c r="C11" s="386">
        <v>37974</v>
      </c>
      <c r="D11" s="386" t="s">
        <v>55</v>
      </c>
      <c r="E11" s="387" t="s">
        <v>2</v>
      </c>
      <c r="F11" s="388" t="s">
        <v>21</v>
      </c>
      <c r="G11" s="388" t="s">
        <v>22</v>
      </c>
      <c r="H11" s="389">
        <v>342907.75</v>
      </c>
      <c r="I11" s="389">
        <v>308616.98</v>
      </c>
      <c r="J11" s="390">
        <f t="shared" ref="J11:J17" si="0">ROUNDUP((H11-I11),2)</f>
        <v>34290.769999999997</v>
      </c>
      <c r="K11" s="342"/>
    </row>
    <row r="12" spans="1:26" s="391" customFormat="1" ht="38.1" customHeight="1" x14ac:dyDescent="0.3">
      <c r="A12" s="384">
        <v>1</v>
      </c>
      <c r="B12" s="385" t="s">
        <v>38</v>
      </c>
      <c r="C12" s="386">
        <v>37974</v>
      </c>
      <c r="D12" s="386" t="s">
        <v>56</v>
      </c>
      <c r="E12" s="387" t="s">
        <v>2</v>
      </c>
      <c r="F12" s="388" t="s">
        <v>21</v>
      </c>
      <c r="G12" s="388" t="s">
        <v>22</v>
      </c>
      <c r="H12" s="389">
        <v>342907.75</v>
      </c>
      <c r="I12" s="389">
        <v>308616.98</v>
      </c>
      <c r="J12" s="390">
        <f t="shared" si="0"/>
        <v>34290.769999999997</v>
      </c>
      <c r="K12" s="342"/>
      <c r="Z12" s="392" t="s">
        <v>126</v>
      </c>
    </row>
    <row r="13" spans="1:26" s="391" customFormat="1" ht="38.1" customHeight="1" x14ac:dyDescent="0.3">
      <c r="A13" s="384">
        <v>1</v>
      </c>
      <c r="B13" s="385" t="s">
        <v>36</v>
      </c>
      <c r="C13" s="386">
        <v>39898</v>
      </c>
      <c r="D13" s="386" t="s">
        <v>57</v>
      </c>
      <c r="E13" s="387" t="s">
        <v>33</v>
      </c>
      <c r="F13" s="393" t="s">
        <v>20</v>
      </c>
      <c r="G13" s="394" t="s">
        <v>27</v>
      </c>
      <c r="H13" s="389">
        <v>525377</v>
      </c>
      <c r="I13" s="389">
        <v>472839.3</v>
      </c>
      <c r="J13" s="390">
        <f t="shared" si="0"/>
        <v>52537.7</v>
      </c>
      <c r="K13" s="342"/>
    </row>
    <row r="14" spans="1:26" s="391" customFormat="1" ht="38.1" customHeight="1" x14ac:dyDescent="0.3">
      <c r="A14" s="384">
        <v>1</v>
      </c>
      <c r="B14" s="385" t="s">
        <v>36</v>
      </c>
      <c r="C14" s="386">
        <v>39898</v>
      </c>
      <c r="D14" s="386" t="s">
        <v>57</v>
      </c>
      <c r="E14" s="387" t="s">
        <v>33</v>
      </c>
      <c r="F14" s="393" t="s">
        <v>20</v>
      </c>
      <c r="G14" s="394" t="s">
        <v>27</v>
      </c>
      <c r="H14" s="389">
        <v>525377</v>
      </c>
      <c r="I14" s="389">
        <v>472839.3</v>
      </c>
      <c r="J14" s="390">
        <f t="shared" si="0"/>
        <v>52537.7</v>
      </c>
      <c r="K14" s="342"/>
    </row>
    <row r="15" spans="1:26" s="391" customFormat="1" ht="36" hidden="1" customHeight="1" x14ac:dyDescent="0.3">
      <c r="A15" s="395">
        <v>1</v>
      </c>
      <c r="B15" s="396" t="s">
        <v>40</v>
      </c>
      <c r="C15" s="397">
        <v>40543</v>
      </c>
      <c r="D15" s="397"/>
      <c r="E15" s="398" t="s">
        <v>32</v>
      </c>
      <c r="F15" s="94" t="s">
        <v>28</v>
      </c>
      <c r="G15" s="94" t="s">
        <v>23</v>
      </c>
      <c r="H15" s="399">
        <v>64059.07</v>
      </c>
      <c r="I15" s="400">
        <v>43239.87</v>
      </c>
      <c r="J15" s="401">
        <f t="shared" si="0"/>
        <v>20819.2</v>
      </c>
      <c r="K15" s="342"/>
    </row>
    <row r="16" spans="1:26" s="391" customFormat="1" ht="36" hidden="1" customHeight="1" x14ac:dyDescent="0.3">
      <c r="A16" s="395">
        <v>1</v>
      </c>
      <c r="B16" s="396" t="s">
        <v>40</v>
      </c>
      <c r="C16" s="397">
        <v>40543</v>
      </c>
      <c r="D16" s="397"/>
      <c r="E16" s="398" t="s">
        <v>32</v>
      </c>
      <c r="F16" s="94" t="s">
        <v>28</v>
      </c>
      <c r="G16" s="94" t="s">
        <v>23</v>
      </c>
      <c r="H16" s="399">
        <v>64059.07</v>
      </c>
      <c r="I16" s="400">
        <v>43239.87</v>
      </c>
      <c r="J16" s="401">
        <f t="shared" si="0"/>
        <v>20819.2</v>
      </c>
      <c r="K16" s="342"/>
    </row>
    <row r="17" spans="1:29" s="412" customFormat="1" ht="38.1" customHeight="1" x14ac:dyDescent="0.3">
      <c r="A17" s="402">
        <v>1</v>
      </c>
      <c r="B17" s="403" t="s">
        <v>129</v>
      </c>
      <c r="C17" s="404">
        <v>42748</v>
      </c>
      <c r="D17" s="405" t="s">
        <v>90</v>
      </c>
      <c r="E17" s="405" t="s">
        <v>93</v>
      </c>
      <c r="F17" s="403" t="s">
        <v>88</v>
      </c>
      <c r="G17" s="403" t="s">
        <v>89</v>
      </c>
      <c r="H17" s="406">
        <v>23573.759999999998</v>
      </c>
      <c r="I17" s="406">
        <f>'[2]Depreciación ORIGINAL '!V7</f>
        <v>1697.3107199999997</v>
      </c>
      <c r="J17" s="407">
        <f t="shared" si="0"/>
        <v>21876.449999999997</v>
      </c>
      <c r="K17" s="342">
        <f>H17*10%</f>
        <v>2357.3759999999997</v>
      </c>
      <c r="L17" s="342">
        <f>H17-K17</f>
        <v>21216.383999999998</v>
      </c>
      <c r="M17" s="342">
        <f>L17*10%</f>
        <v>2121.6383999999998</v>
      </c>
      <c r="N17" s="408">
        <f>M17/365</f>
        <v>5.8127079452054788</v>
      </c>
      <c r="O17" s="409">
        <f>19+28+31+30+31+30</f>
        <v>169</v>
      </c>
      <c r="P17" s="408">
        <f>N17*O17</f>
        <v>982.34764273972587</v>
      </c>
      <c r="Q17" s="410">
        <v>23120.37</v>
      </c>
      <c r="R17" s="411">
        <f>Q17-P17</f>
        <v>22138.022357260274</v>
      </c>
      <c r="T17" s="413"/>
      <c r="Y17" s="414"/>
    </row>
    <row r="18" spans="1:29" s="342" customFormat="1" ht="43.5" customHeight="1" x14ac:dyDescent="0.3">
      <c r="A18" s="415">
        <v>1</v>
      </c>
      <c r="B18" s="416" t="s">
        <v>124</v>
      </c>
      <c r="C18" s="417">
        <v>42905</v>
      </c>
      <c r="D18" s="418" t="s">
        <v>94</v>
      </c>
      <c r="E18" s="419" t="s">
        <v>121</v>
      </c>
      <c r="F18" s="420" t="s">
        <v>24</v>
      </c>
      <c r="G18" s="420" t="s">
        <v>95</v>
      </c>
      <c r="H18" s="420">
        <v>21893</v>
      </c>
      <c r="I18" s="406">
        <f>'[2]Depreciación ORIGINAL '!V8</f>
        <v>1457.5339726027398</v>
      </c>
      <c r="J18" s="421">
        <f>H18-I18</f>
        <v>20435.466027397259</v>
      </c>
      <c r="K18" s="342">
        <f>H18*10%</f>
        <v>2189.3000000000002</v>
      </c>
      <c r="L18" s="342">
        <f>H18-K18</f>
        <v>19703.7</v>
      </c>
      <c r="M18" s="342">
        <f>L18*20%</f>
        <v>3940.7400000000002</v>
      </c>
      <c r="N18" s="408">
        <f>M18/366</f>
        <v>10.76704918032787</v>
      </c>
      <c r="O18" s="409">
        <f>11</f>
        <v>11</v>
      </c>
      <c r="P18" s="408">
        <f>N18*O18</f>
        <v>118.43754098360657</v>
      </c>
      <c r="Q18" s="410">
        <v>20965.330000000002</v>
      </c>
      <c r="R18" s="411">
        <f>Q18-P18</f>
        <v>20846.892459016395</v>
      </c>
      <c r="T18" s="422"/>
      <c r="Y18" s="414"/>
      <c r="Z18" s="597" t="s">
        <v>122</v>
      </c>
      <c r="AA18" s="597"/>
      <c r="AB18" s="597"/>
    </row>
    <row r="19" spans="1:29" s="342" customFormat="1" ht="45.75" thickBot="1" x14ac:dyDescent="0.35">
      <c r="A19" s="423">
        <v>1</v>
      </c>
      <c r="B19" s="424" t="s">
        <v>124</v>
      </c>
      <c r="C19" s="425">
        <v>42905</v>
      </c>
      <c r="D19" s="426" t="s">
        <v>125</v>
      </c>
      <c r="E19" s="427" t="s">
        <v>121</v>
      </c>
      <c r="F19" s="428" t="s">
        <v>24</v>
      </c>
      <c r="G19" s="428" t="s">
        <v>95</v>
      </c>
      <c r="H19" s="428">
        <v>21893</v>
      </c>
      <c r="I19" s="429">
        <f>'[2]Depreciación ORIGINAL '!V9</f>
        <v>1457.5339726027398</v>
      </c>
      <c r="J19" s="430">
        <f>H19-I19</f>
        <v>20435.466027397259</v>
      </c>
      <c r="K19" s="342">
        <f>H19*10%</f>
        <v>2189.3000000000002</v>
      </c>
      <c r="L19" s="342">
        <f>H19-K19</f>
        <v>19703.7</v>
      </c>
      <c r="M19" s="342">
        <f>L19*20%</f>
        <v>3940.7400000000002</v>
      </c>
      <c r="N19" s="408">
        <f>M19/365</f>
        <v>10.79654794520548</v>
      </c>
      <c r="O19" s="409">
        <f>11</f>
        <v>11</v>
      </c>
      <c r="P19" s="408">
        <f>N19*O19</f>
        <v>118.76202739726028</v>
      </c>
      <c r="Q19" s="410">
        <v>20965.330000000002</v>
      </c>
      <c r="R19" s="411">
        <f>Q19-P19</f>
        <v>20846.567972602741</v>
      </c>
      <c r="T19" s="422"/>
      <c r="Y19" s="414"/>
    </row>
    <row r="20" spans="1:29" s="342" customFormat="1" ht="26.25" thickTop="1" x14ac:dyDescent="0.2">
      <c r="A20" s="431"/>
      <c r="B20" s="432"/>
      <c r="C20" s="433"/>
      <c r="D20" s="433"/>
      <c r="E20" s="434"/>
      <c r="H20" s="435"/>
      <c r="I20" s="436"/>
      <c r="J20" s="435"/>
      <c r="O20" s="437"/>
    </row>
    <row r="21" spans="1:29" s="412" customFormat="1" x14ac:dyDescent="0.3">
      <c r="A21" s="438"/>
      <c r="B21" s="438"/>
      <c r="C21" s="341"/>
      <c r="D21" s="341"/>
      <c r="E21" s="341"/>
      <c r="F21" s="438"/>
      <c r="G21" s="438"/>
      <c r="H21" s="340"/>
      <c r="I21" s="340"/>
      <c r="J21" s="341"/>
      <c r="K21" s="342"/>
      <c r="L21" s="342"/>
      <c r="M21" s="342"/>
      <c r="O21" s="439"/>
    </row>
    <row r="22" spans="1:29" s="412" customFormat="1" x14ac:dyDescent="0.3">
      <c r="A22" s="438"/>
      <c r="B22" s="438"/>
      <c r="C22" s="341"/>
      <c r="D22" s="341"/>
      <c r="E22" s="341"/>
      <c r="F22" s="438"/>
      <c r="G22" s="438"/>
      <c r="H22" s="340"/>
      <c r="I22" s="340"/>
      <c r="J22" s="341"/>
      <c r="K22" s="342"/>
      <c r="L22" s="342"/>
      <c r="M22" s="342"/>
      <c r="O22" s="439"/>
    </row>
    <row r="23" spans="1:29" ht="23.25" x14ac:dyDescent="0.35">
      <c r="A23" s="464" t="s">
        <v>66</v>
      </c>
      <c r="B23" s="465"/>
      <c r="C23" s="466"/>
      <c r="D23" s="466"/>
      <c r="E23" s="349"/>
      <c r="F23" s="467"/>
      <c r="G23" s="467"/>
      <c r="H23" s="363"/>
      <c r="I23" s="364"/>
      <c r="J23" s="363"/>
      <c r="K23" s="468"/>
      <c r="L23" s="343"/>
      <c r="M23" s="343"/>
      <c r="O23" s="440"/>
    </row>
    <row r="24" spans="1:29" ht="23.25" x14ac:dyDescent="0.35">
      <c r="A24" s="464"/>
      <c r="B24" s="465"/>
      <c r="C24" s="466"/>
      <c r="D24" s="466"/>
      <c r="E24" s="349"/>
      <c r="F24" s="467"/>
      <c r="G24" s="467"/>
      <c r="H24" s="363"/>
      <c r="I24" s="364"/>
      <c r="J24" s="363"/>
      <c r="K24" s="468"/>
      <c r="L24" s="343"/>
      <c r="M24" s="343"/>
      <c r="O24" s="440"/>
    </row>
    <row r="25" spans="1:29" ht="22.5" thickBot="1" x14ac:dyDescent="0.35">
      <c r="A25" s="454"/>
      <c r="B25" s="454"/>
      <c r="C25" s="339"/>
      <c r="D25" s="339"/>
      <c r="E25" s="339"/>
      <c r="F25" s="469"/>
      <c r="G25" s="469"/>
      <c r="J25" s="340"/>
      <c r="K25" s="468"/>
      <c r="L25" s="343"/>
      <c r="M25" s="343"/>
      <c r="O25" s="440"/>
    </row>
    <row r="26" spans="1:29" ht="66.75" thickTop="1" thickBot="1" x14ac:dyDescent="0.35">
      <c r="A26" s="470" t="s">
        <v>6</v>
      </c>
      <c r="B26" s="371" t="s">
        <v>0</v>
      </c>
      <c r="C26" s="371" t="s">
        <v>11</v>
      </c>
      <c r="D26" s="371" t="s">
        <v>45</v>
      </c>
      <c r="E26" s="371" t="s">
        <v>1</v>
      </c>
      <c r="F26" s="371" t="s">
        <v>16</v>
      </c>
      <c r="G26" s="371" t="s">
        <v>17</v>
      </c>
      <c r="H26" s="371" t="s">
        <v>15</v>
      </c>
      <c r="I26" s="371" t="s">
        <v>137</v>
      </c>
      <c r="J26" s="471" t="s">
        <v>12</v>
      </c>
      <c r="O26" s="440"/>
      <c r="AB26" s="593"/>
      <c r="AC26" s="593"/>
    </row>
    <row r="27" spans="1:29" ht="51.75" thickTop="1" x14ac:dyDescent="0.3">
      <c r="A27" s="472">
        <v>1</v>
      </c>
      <c r="B27" s="388" t="s">
        <v>37</v>
      </c>
      <c r="C27" s="386">
        <v>41334</v>
      </c>
      <c r="D27" s="386" t="s">
        <v>58</v>
      </c>
      <c r="E27" s="387" t="s">
        <v>34</v>
      </c>
      <c r="F27" s="389" t="s">
        <v>26</v>
      </c>
      <c r="G27" s="389" t="s">
        <v>30</v>
      </c>
      <c r="H27" s="473">
        <v>144307.78</v>
      </c>
      <c r="I27" s="473">
        <v>114861.09</v>
      </c>
      <c r="J27" s="390">
        <f t="shared" ref="J27:J44" si="1">H27-I27</f>
        <v>29446.690000000002</v>
      </c>
      <c r="K27" s="474">
        <f t="shared" ref="K27:K34" si="2">H27*10%</f>
        <v>14430.778</v>
      </c>
      <c r="L27" s="474">
        <f t="shared" ref="L27:L34" si="3">H27-K27</f>
        <v>129877.00199999999</v>
      </c>
      <c r="M27" s="474">
        <f t="shared" ref="M27:M34" si="4">L27*20%</f>
        <v>25975.400399999999</v>
      </c>
      <c r="N27" s="475">
        <f t="shared" ref="N27:N34" si="5">M27/12</f>
        <v>2164.6167</v>
      </c>
      <c r="O27" s="476">
        <v>3</v>
      </c>
      <c r="P27" s="475">
        <f t="shared" ref="P27:P34" si="6">N27*O27</f>
        <v>6493.8500999999997</v>
      </c>
      <c r="Q27" s="477">
        <v>40406.11</v>
      </c>
      <c r="R27" s="478">
        <f t="shared" ref="R27:R34" si="7">Q27-P27</f>
        <v>33912.259900000005</v>
      </c>
      <c r="S27" s="479"/>
      <c r="T27" s="480">
        <v>40406.11</v>
      </c>
      <c r="U27" s="479">
        <f>25975.4*4</f>
        <v>103901.6</v>
      </c>
      <c r="V27" s="411">
        <f>P27+U27</f>
        <v>110395.4501</v>
      </c>
      <c r="W27" s="479"/>
      <c r="X27" s="479"/>
      <c r="Y27" s="479"/>
      <c r="Z27" s="479"/>
      <c r="AA27" s="479"/>
      <c r="AB27" s="479"/>
      <c r="AC27" s="481"/>
    </row>
    <row r="28" spans="1:29" ht="51" x14ac:dyDescent="0.3">
      <c r="A28" s="472">
        <v>1</v>
      </c>
      <c r="B28" s="388" t="s">
        <v>37</v>
      </c>
      <c r="C28" s="386">
        <v>41334</v>
      </c>
      <c r="D28" s="386" t="s">
        <v>58</v>
      </c>
      <c r="E28" s="387" t="s">
        <v>34</v>
      </c>
      <c r="F28" s="389" t="s">
        <v>26</v>
      </c>
      <c r="G28" s="389" t="s">
        <v>30</v>
      </c>
      <c r="H28" s="473">
        <v>144307.78</v>
      </c>
      <c r="I28" s="473">
        <v>114861.09</v>
      </c>
      <c r="J28" s="390">
        <f t="shared" si="1"/>
        <v>29446.690000000002</v>
      </c>
      <c r="K28" s="474">
        <f t="shared" si="2"/>
        <v>14430.778</v>
      </c>
      <c r="L28" s="474">
        <f t="shared" si="3"/>
        <v>129877.00199999999</v>
      </c>
      <c r="M28" s="474">
        <f t="shared" si="4"/>
        <v>25975.400399999999</v>
      </c>
      <c r="N28" s="475">
        <f t="shared" si="5"/>
        <v>2164.6167</v>
      </c>
      <c r="O28" s="476">
        <v>3</v>
      </c>
      <c r="P28" s="475">
        <f t="shared" si="6"/>
        <v>6493.8500999999997</v>
      </c>
      <c r="Q28" s="477">
        <v>40406.11</v>
      </c>
      <c r="R28" s="478">
        <f t="shared" si="7"/>
        <v>33912.259900000005</v>
      </c>
      <c r="S28" s="479"/>
      <c r="T28" s="480">
        <v>40406.11</v>
      </c>
      <c r="U28" s="479">
        <f>25975.4*4</f>
        <v>103901.6</v>
      </c>
      <c r="V28" s="411">
        <f>P28+U28</f>
        <v>110395.4501</v>
      </c>
      <c r="W28" s="479"/>
      <c r="X28" s="479"/>
      <c r="Y28" s="479"/>
      <c r="Z28" s="479"/>
      <c r="AA28" s="479"/>
      <c r="AB28" s="479"/>
      <c r="AC28" s="481"/>
    </row>
    <row r="29" spans="1:29" ht="43.5" x14ac:dyDescent="0.3">
      <c r="A29" s="483">
        <v>1</v>
      </c>
      <c r="B29" s="388" t="s">
        <v>35</v>
      </c>
      <c r="C29" s="386">
        <v>41611</v>
      </c>
      <c r="D29" s="386" t="s">
        <v>59</v>
      </c>
      <c r="E29" s="484" t="s">
        <v>31</v>
      </c>
      <c r="F29" s="485" t="s">
        <v>24</v>
      </c>
      <c r="G29" s="388" t="s">
        <v>25</v>
      </c>
      <c r="H29" s="473">
        <v>175817</v>
      </c>
      <c r="I29" s="473">
        <v>115923.61</v>
      </c>
      <c r="J29" s="390">
        <f t="shared" si="1"/>
        <v>59893.39</v>
      </c>
      <c r="K29" s="474">
        <f t="shared" si="2"/>
        <v>17581.7</v>
      </c>
      <c r="L29" s="474">
        <f t="shared" si="3"/>
        <v>158235.29999999999</v>
      </c>
      <c r="M29" s="474">
        <f t="shared" si="4"/>
        <v>31647.059999999998</v>
      </c>
      <c r="N29" s="475">
        <f t="shared" si="5"/>
        <v>2637.2549999999997</v>
      </c>
      <c r="O29" s="476">
        <v>3</v>
      </c>
      <c r="P29" s="475">
        <f t="shared" si="6"/>
        <v>7911.7649999999994</v>
      </c>
      <c r="Q29" s="477">
        <v>70326.77</v>
      </c>
      <c r="R29" s="478">
        <f t="shared" si="7"/>
        <v>62415.005000000005</v>
      </c>
      <c r="S29" s="479"/>
      <c r="T29" s="480">
        <v>70326.77</v>
      </c>
      <c r="U29" s="411">
        <f>M29*3</f>
        <v>94941.18</v>
      </c>
      <c r="V29" s="411">
        <f>6*N29</f>
        <v>15823.529999999999</v>
      </c>
      <c r="W29" s="411">
        <f>SUM(U29:V29)</f>
        <v>110764.70999999999</v>
      </c>
      <c r="X29" s="479"/>
      <c r="Y29" s="479"/>
      <c r="Z29" s="479"/>
      <c r="AA29" s="479"/>
      <c r="AB29" s="479"/>
      <c r="AC29" s="481"/>
    </row>
    <row r="30" spans="1:29" ht="43.5" x14ac:dyDescent="0.3">
      <c r="A30" s="483">
        <v>1</v>
      </c>
      <c r="B30" s="388" t="s">
        <v>35</v>
      </c>
      <c r="C30" s="386">
        <v>41611</v>
      </c>
      <c r="D30" s="386" t="s">
        <v>59</v>
      </c>
      <c r="E30" s="484" t="s">
        <v>31</v>
      </c>
      <c r="F30" s="485" t="s">
        <v>24</v>
      </c>
      <c r="G30" s="388" t="s">
        <v>25</v>
      </c>
      <c r="H30" s="473">
        <v>175817</v>
      </c>
      <c r="I30" s="473">
        <v>115923.61</v>
      </c>
      <c r="J30" s="390">
        <f t="shared" si="1"/>
        <v>59893.39</v>
      </c>
      <c r="K30" s="474">
        <f t="shared" si="2"/>
        <v>17581.7</v>
      </c>
      <c r="L30" s="474">
        <f t="shared" si="3"/>
        <v>158235.29999999999</v>
      </c>
      <c r="M30" s="474">
        <f t="shared" si="4"/>
        <v>31647.059999999998</v>
      </c>
      <c r="N30" s="475">
        <f t="shared" si="5"/>
        <v>2637.2549999999997</v>
      </c>
      <c r="O30" s="476">
        <v>3</v>
      </c>
      <c r="P30" s="475">
        <f t="shared" si="6"/>
        <v>7911.7649999999994</v>
      </c>
      <c r="Q30" s="477">
        <v>70326.77</v>
      </c>
      <c r="R30" s="478">
        <f t="shared" si="7"/>
        <v>62415.005000000005</v>
      </c>
      <c r="S30" s="479"/>
      <c r="T30" s="480">
        <v>70326.77</v>
      </c>
      <c r="U30" s="479"/>
      <c r="V30" s="479"/>
      <c r="W30" s="479"/>
      <c r="X30" s="479"/>
      <c r="Y30" s="479"/>
      <c r="Z30" s="597" t="s">
        <v>123</v>
      </c>
      <c r="AA30" s="597"/>
      <c r="AB30" s="597"/>
      <c r="AC30" s="481"/>
    </row>
    <row r="31" spans="1:29" ht="43.5" x14ac:dyDescent="0.3">
      <c r="A31" s="483">
        <v>1</v>
      </c>
      <c r="B31" s="386" t="s">
        <v>35</v>
      </c>
      <c r="C31" s="386">
        <v>41611</v>
      </c>
      <c r="D31" s="386" t="s">
        <v>59</v>
      </c>
      <c r="E31" s="486" t="s">
        <v>14</v>
      </c>
      <c r="F31" s="485" t="s">
        <v>24</v>
      </c>
      <c r="G31" s="388" t="s">
        <v>25</v>
      </c>
      <c r="H31" s="473">
        <v>194901.5</v>
      </c>
      <c r="I31" s="473">
        <v>128506.84</v>
      </c>
      <c r="J31" s="390">
        <f t="shared" si="1"/>
        <v>66394.66</v>
      </c>
      <c r="K31" s="474">
        <f t="shared" si="2"/>
        <v>19490.150000000001</v>
      </c>
      <c r="L31" s="474">
        <f t="shared" si="3"/>
        <v>175411.35</v>
      </c>
      <c r="M31" s="474">
        <f t="shared" si="4"/>
        <v>35082.270000000004</v>
      </c>
      <c r="N31" s="475">
        <f t="shared" si="5"/>
        <v>2923.5225000000005</v>
      </c>
      <c r="O31" s="476">
        <v>3</v>
      </c>
      <c r="P31" s="475">
        <f t="shared" si="6"/>
        <v>8770.567500000001</v>
      </c>
      <c r="Q31" s="477">
        <v>77960.62</v>
      </c>
      <c r="R31" s="478">
        <f t="shared" si="7"/>
        <v>69190.052499999991</v>
      </c>
      <c r="S31" s="479"/>
      <c r="T31" s="480">
        <v>77960.62</v>
      </c>
      <c r="U31" s="479"/>
      <c r="V31" s="479"/>
      <c r="W31" s="479"/>
      <c r="X31" s="479"/>
      <c r="Y31" s="479"/>
      <c r="Z31" s="479"/>
      <c r="AA31" s="479"/>
      <c r="AB31" s="479"/>
      <c r="AC31" s="487"/>
    </row>
    <row r="32" spans="1:29" ht="43.5" x14ac:dyDescent="0.3">
      <c r="A32" s="483">
        <v>1</v>
      </c>
      <c r="B32" s="386" t="s">
        <v>35</v>
      </c>
      <c r="C32" s="386">
        <v>41611</v>
      </c>
      <c r="D32" s="386" t="s">
        <v>59</v>
      </c>
      <c r="E32" s="486" t="s">
        <v>14</v>
      </c>
      <c r="F32" s="485" t="s">
        <v>24</v>
      </c>
      <c r="G32" s="388" t="s">
        <v>25</v>
      </c>
      <c r="H32" s="473">
        <v>194901.5</v>
      </c>
      <c r="I32" s="473">
        <v>128506.84</v>
      </c>
      <c r="J32" s="390">
        <f t="shared" si="1"/>
        <v>66394.66</v>
      </c>
      <c r="K32" s="474">
        <f t="shared" si="2"/>
        <v>19490.150000000001</v>
      </c>
      <c r="L32" s="474">
        <f t="shared" si="3"/>
        <v>175411.35</v>
      </c>
      <c r="M32" s="474">
        <f t="shared" si="4"/>
        <v>35082.270000000004</v>
      </c>
      <c r="N32" s="475">
        <f t="shared" si="5"/>
        <v>2923.5225000000005</v>
      </c>
      <c r="O32" s="476">
        <v>3</v>
      </c>
      <c r="P32" s="475">
        <f t="shared" si="6"/>
        <v>8770.567500000001</v>
      </c>
      <c r="Q32" s="477">
        <v>77960.62</v>
      </c>
      <c r="R32" s="478">
        <f t="shared" si="7"/>
        <v>69190.052499999991</v>
      </c>
      <c r="S32" s="479"/>
      <c r="T32" s="480">
        <v>77960.62</v>
      </c>
      <c r="U32" s="479"/>
      <c r="V32" s="479"/>
      <c r="W32" s="479"/>
      <c r="X32" s="479"/>
      <c r="Y32" s="479"/>
      <c r="Z32" s="479"/>
      <c r="AA32" s="479"/>
      <c r="AB32" s="479"/>
      <c r="AC32" s="479"/>
    </row>
    <row r="33" spans="1:29" ht="51" x14ac:dyDescent="0.3">
      <c r="A33" s="483">
        <v>1</v>
      </c>
      <c r="B33" s="488" t="s">
        <v>42</v>
      </c>
      <c r="C33" s="386">
        <v>42143</v>
      </c>
      <c r="D33" s="386" t="s">
        <v>60</v>
      </c>
      <c r="E33" s="387" t="s">
        <v>13</v>
      </c>
      <c r="F33" s="489" t="s">
        <v>21</v>
      </c>
      <c r="G33" s="387" t="s">
        <v>43</v>
      </c>
      <c r="H33" s="473">
        <v>300236.52</v>
      </c>
      <c r="I33" s="389">
        <v>119189.79</v>
      </c>
      <c r="J33" s="390">
        <f t="shared" si="1"/>
        <v>181046.73000000004</v>
      </c>
      <c r="K33" s="474">
        <f t="shared" si="2"/>
        <v>30023.652000000002</v>
      </c>
      <c r="L33" s="474">
        <f t="shared" si="3"/>
        <v>270212.86800000002</v>
      </c>
      <c r="M33" s="474">
        <f t="shared" si="4"/>
        <v>54042.573600000003</v>
      </c>
      <c r="N33" s="475">
        <f t="shared" si="5"/>
        <v>4503.5478000000003</v>
      </c>
      <c r="O33" s="476">
        <v>3</v>
      </c>
      <c r="P33" s="475">
        <f t="shared" si="6"/>
        <v>13510.643400000001</v>
      </c>
      <c r="Q33" s="477">
        <v>196654.92</v>
      </c>
      <c r="R33" s="478">
        <f t="shared" si="7"/>
        <v>183144.27660000001</v>
      </c>
      <c r="S33" s="412"/>
      <c r="T33" s="490">
        <v>196654.92</v>
      </c>
      <c r="U33" s="412"/>
      <c r="V33" s="412"/>
      <c r="W33" s="412"/>
      <c r="X33" s="412"/>
      <c r="Y33" s="412"/>
      <c r="Z33" s="412"/>
      <c r="AA33" s="593"/>
      <c r="AB33" s="593"/>
      <c r="AC33" s="412"/>
    </row>
    <row r="34" spans="1:29" ht="51" x14ac:dyDescent="0.3">
      <c r="A34" s="483">
        <v>1</v>
      </c>
      <c r="B34" s="488" t="s">
        <v>42</v>
      </c>
      <c r="C34" s="386">
        <v>42143</v>
      </c>
      <c r="D34" s="386" t="s">
        <v>60</v>
      </c>
      <c r="E34" s="387" t="s">
        <v>13</v>
      </c>
      <c r="F34" s="489" t="s">
        <v>21</v>
      </c>
      <c r="G34" s="387" t="s">
        <v>43</v>
      </c>
      <c r="H34" s="473">
        <v>300236.52</v>
      </c>
      <c r="I34" s="389">
        <v>119189.79</v>
      </c>
      <c r="J34" s="390">
        <f t="shared" si="1"/>
        <v>181046.73000000004</v>
      </c>
      <c r="K34" s="474">
        <f t="shared" si="2"/>
        <v>30023.652000000002</v>
      </c>
      <c r="L34" s="474">
        <f t="shared" si="3"/>
        <v>270212.86800000002</v>
      </c>
      <c r="M34" s="474">
        <f t="shared" si="4"/>
        <v>54042.573600000003</v>
      </c>
      <c r="N34" s="475">
        <f t="shared" si="5"/>
        <v>4503.5478000000003</v>
      </c>
      <c r="O34" s="476">
        <v>3</v>
      </c>
      <c r="P34" s="475">
        <f t="shared" si="6"/>
        <v>13510.643400000001</v>
      </c>
      <c r="Q34" s="477">
        <v>196654.92</v>
      </c>
      <c r="R34" s="478">
        <f t="shared" si="7"/>
        <v>183144.27660000001</v>
      </c>
      <c r="S34" s="412"/>
      <c r="T34" s="490">
        <v>196654.92</v>
      </c>
      <c r="U34" s="412"/>
      <c r="V34" s="412"/>
      <c r="W34" s="412"/>
      <c r="X34" s="412"/>
      <c r="Y34" s="412"/>
      <c r="Z34" s="412"/>
      <c r="AA34" s="412"/>
      <c r="AB34" s="412"/>
      <c r="AC34" s="412"/>
    </row>
    <row r="35" spans="1:29" ht="51" x14ac:dyDescent="0.3">
      <c r="A35" s="491">
        <v>1</v>
      </c>
      <c r="B35" s="492" t="s">
        <v>65</v>
      </c>
      <c r="C35" s="493">
        <v>42461</v>
      </c>
      <c r="D35" s="493" t="s">
        <v>61</v>
      </c>
      <c r="E35" s="494" t="s">
        <v>2</v>
      </c>
      <c r="F35" s="495" t="s">
        <v>47</v>
      </c>
      <c r="G35" s="495" t="s">
        <v>46</v>
      </c>
      <c r="H35" s="496">
        <v>123606.55</v>
      </c>
      <c r="I35" s="496">
        <f>'[2]Depreciación ORIGINAL '!V12</f>
        <v>35293.903126027399</v>
      </c>
      <c r="J35" s="497">
        <f t="shared" si="1"/>
        <v>88312.646873972612</v>
      </c>
      <c r="O35" s="440"/>
    </row>
    <row r="36" spans="1:29" ht="51" x14ac:dyDescent="0.3">
      <c r="A36" s="499">
        <v>1</v>
      </c>
      <c r="B36" s="492" t="s">
        <v>63</v>
      </c>
      <c r="C36" s="493">
        <v>42536</v>
      </c>
      <c r="D36" s="493" t="s">
        <v>64</v>
      </c>
      <c r="E36" s="500" t="s">
        <v>50</v>
      </c>
      <c r="F36" s="495" t="s">
        <v>48</v>
      </c>
      <c r="G36" s="495" t="s">
        <v>49</v>
      </c>
      <c r="H36" s="496">
        <v>105787.5</v>
      </c>
      <c r="I36" s="496">
        <f>'[2]Depreciación ORIGINAL '!V13</f>
        <v>26293.265753424657</v>
      </c>
      <c r="J36" s="497">
        <f t="shared" si="1"/>
        <v>79494.234246575346</v>
      </c>
      <c r="O36" s="440"/>
    </row>
    <row r="37" spans="1:29" s="444" customFormat="1" ht="51.95" customHeight="1" x14ac:dyDescent="0.2">
      <c r="A37" s="499">
        <v>1</v>
      </c>
      <c r="B37" s="492" t="s">
        <v>63</v>
      </c>
      <c r="C37" s="501">
        <v>42536</v>
      </c>
      <c r="D37" s="493" t="s">
        <v>64</v>
      </c>
      <c r="E37" s="500" t="s">
        <v>50</v>
      </c>
      <c r="F37" s="502" t="s">
        <v>48</v>
      </c>
      <c r="G37" s="502" t="s">
        <v>49</v>
      </c>
      <c r="H37" s="496">
        <v>105787.5</v>
      </c>
      <c r="I37" s="496">
        <f>'[2]Depreciación ORIGINAL '!V14</f>
        <v>26293.265753424657</v>
      </c>
      <c r="J37" s="497">
        <f t="shared" si="1"/>
        <v>79494.234246575346</v>
      </c>
      <c r="K37" s="342"/>
      <c r="L37" s="342"/>
      <c r="M37" s="342"/>
      <c r="O37" s="445"/>
    </row>
    <row r="38" spans="1:29" s="444" customFormat="1" ht="51.95" customHeight="1" x14ac:dyDescent="0.2">
      <c r="A38" s="503">
        <v>1</v>
      </c>
      <c r="B38" s="504" t="s">
        <v>62</v>
      </c>
      <c r="C38" s="505">
        <v>42550</v>
      </c>
      <c r="D38" s="506">
        <v>4416</v>
      </c>
      <c r="E38" s="507" t="s">
        <v>50</v>
      </c>
      <c r="F38" s="508" t="s">
        <v>21</v>
      </c>
      <c r="G38" s="508" t="s">
        <v>53</v>
      </c>
      <c r="H38" s="509">
        <v>88575.25</v>
      </c>
      <c r="I38" s="496">
        <f>'[2]Depreciación ORIGINAL '!V15</f>
        <v>21403.663150684937</v>
      </c>
      <c r="J38" s="497">
        <f t="shared" si="1"/>
        <v>67171.586849315063</v>
      </c>
      <c r="K38" s="342"/>
      <c r="L38" s="342"/>
      <c r="M38" s="342"/>
      <c r="O38" s="445"/>
      <c r="AA38" s="594" t="s">
        <v>122</v>
      </c>
      <c r="AB38" s="594"/>
      <c r="AC38" s="594"/>
    </row>
    <row r="39" spans="1:29" s="444" customFormat="1" ht="51.95" customHeight="1" x14ac:dyDescent="0.2">
      <c r="A39" s="499">
        <v>1</v>
      </c>
      <c r="B39" s="492" t="s">
        <v>62</v>
      </c>
      <c r="C39" s="505">
        <v>42550</v>
      </c>
      <c r="D39" s="510">
        <v>4416</v>
      </c>
      <c r="E39" s="500" t="s">
        <v>50</v>
      </c>
      <c r="F39" s="511" t="s">
        <v>21</v>
      </c>
      <c r="G39" s="511" t="s">
        <v>53</v>
      </c>
      <c r="H39" s="512">
        <v>88575.25</v>
      </c>
      <c r="I39" s="496">
        <f>'[2]Depreciación ORIGINAL '!V16</f>
        <v>21403.663150684937</v>
      </c>
      <c r="J39" s="497">
        <f t="shared" si="1"/>
        <v>67171.586849315063</v>
      </c>
      <c r="K39" s="342"/>
      <c r="L39" s="342"/>
      <c r="M39" s="342"/>
      <c r="O39" s="445"/>
    </row>
    <row r="40" spans="1:29" s="444" customFormat="1" ht="51.95" customHeight="1" x14ac:dyDescent="0.2">
      <c r="A40" s="499">
        <v>1</v>
      </c>
      <c r="B40" s="492" t="s">
        <v>62</v>
      </c>
      <c r="C40" s="505">
        <v>42550</v>
      </c>
      <c r="D40" s="510">
        <v>4416</v>
      </c>
      <c r="E40" s="500" t="s">
        <v>50</v>
      </c>
      <c r="F40" s="511" t="s">
        <v>48</v>
      </c>
      <c r="G40" s="495" t="s">
        <v>49</v>
      </c>
      <c r="H40" s="512">
        <v>30766.25</v>
      </c>
      <c r="I40" s="496">
        <f>'[2]Depreciación ORIGINAL '!V17</f>
        <v>7434.4746575342469</v>
      </c>
      <c r="J40" s="497">
        <f t="shared" si="1"/>
        <v>23331.775342465753</v>
      </c>
      <c r="K40" s="342"/>
      <c r="L40" s="342"/>
      <c r="M40" s="342"/>
      <c r="O40" s="445"/>
    </row>
    <row r="41" spans="1:29" s="444" customFormat="1" ht="51.95" customHeight="1" x14ac:dyDescent="0.2">
      <c r="A41" s="499">
        <v>1</v>
      </c>
      <c r="B41" s="492" t="s">
        <v>62</v>
      </c>
      <c r="C41" s="505">
        <v>42550</v>
      </c>
      <c r="D41" s="510">
        <v>4416</v>
      </c>
      <c r="E41" s="500" t="s">
        <v>50</v>
      </c>
      <c r="F41" s="511" t="s">
        <v>48</v>
      </c>
      <c r="G41" s="495" t="s">
        <v>49</v>
      </c>
      <c r="H41" s="512">
        <v>30766.25</v>
      </c>
      <c r="I41" s="496">
        <f>'[2]Depreciación ORIGINAL '!V18</f>
        <v>7434.4746575342469</v>
      </c>
      <c r="J41" s="497">
        <f t="shared" si="1"/>
        <v>23331.775342465753</v>
      </c>
      <c r="K41" s="342"/>
      <c r="L41" s="342"/>
      <c r="M41" s="342"/>
      <c r="O41" s="445"/>
    </row>
    <row r="42" spans="1:29" s="444" customFormat="1" ht="51.95" customHeight="1" x14ac:dyDescent="0.2">
      <c r="A42" s="499">
        <v>1</v>
      </c>
      <c r="B42" s="492" t="s">
        <v>62</v>
      </c>
      <c r="C42" s="505">
        <v>42550</v>
      </c>
      <c r="D42" s="510">
        <v>4416</v>
      </c>
      <c r="E42" s="500" t="s">
        <v>51</v>
      </c>
      <c r="F42" s="511" t="s">
        <v>21</v>
      </c>
      <c r="G42" s="495" t="s">
        <v>52</v>
      </c>
      <c r="H42" s="512">
        <v>123942.75</v>
      </c>
      <c r="I42" s="496">
        <f>'[2]Depreciación ORIGINAL '!V19</f>
        <v>29950.001506849316</v>
      </c>
      <c r="J42" s="497">
        <f t="shared" si="1"/>
        <v>93992.748493150692</v>
      </c>
      <c r="K42" s="342"/>
      <c r="L42" s="342"/>
      <c r="M42" s="342"/>
      <c r="O42" s="445"/>
    </row>
    <row r="43" spans="1:29" s="444" customFormat="1" ht="38.1" customHeight="1" x14ac:dyDescent="0.2">
      <c r="A43" s="499">
        <v>1</v>
      </c>
      <c r="B43" s="492" t="s">
        <v>62</v>
      </c>
      <c r="C43" s="505">
        <v>42550</v>
      </c>
      <c r="D43" s="510">
        <v>4416</v>
      </c>
      <c r="E43" s="500" t="s">
        <v>51</v>
      </c>
      <c r="F43" s="511" t="s">
        <v>21</v>
      </c>
      <c r="G43" s="495" t="s">
        <v>52</v>
      </c>
      <c r="H43" s="512">
        <v>123942.75</v>
      </c>
      <c r="I43" s="496">
        <f>'[2]Depreciación ORIGINAL '!V20</f>
        <v>29950.001506849316</v>
      </c>
      <c r="J43" s="497">
        <f t="shared" si="1"/>
        <v>93992.748493150692</v>
      </c>
      <c r="K43" s="342"/>
      <c r="L43" s="342"/>
      <c r="M43" s="342"/>
      <c r="O43" s="445"/>
    </row>
    <row r="44" spans="1:29" s="448" customFormat="1" ht="23.1" customHeight="1" x14ac:dyDescent="0.2">
      <c r="A44" s="514">
        <v>1</v>
      </c>
      <c r="B44" s="515"/>
      <c r="C44" s="516">
        <v>42559</v>
      </c>
      <c r="D44" s="515" t="s">
        <v>70</v>
      </c>
      <c r="E44" s="517" t="s">
        <v>67</v>
      </c>
      <c r="F44" s="518" t="s">
        <v>68</v>
      </c>
      <c r="G44" s="519" t="s">
        <v>69</v>
      </c>
      <c r="H44" s="520">
        <v>24662.23</v>
      </c>
      <c r="I44" s="520">
        <f>'[2]Depreciación ORIGINAL '!V21</f>
        <v>5850.0160915068491</v>
      </c>
      <c r="J44" s="521">
        <f t="shared" si="1"/>
        <v>18812.213908493151</v>
      </c>
      <c r="K44" s="342"/>
      <c r="L44" s="342"/>
      <c r="M44" s="342"/>
      <c r="O44" s="449"/>
      <c r="Y44" s="522" t="s">
        <v>138</v>
      </c>
    </row>
    <row r="45" spans="1:29" s="448" customFormat="1" ht="23.1" customHeight="1" x14ac:dyDescent="0.3">
      <c r="A45" s="337"/>
      <c r="B45" s="337"/>
      <c r="C45" s="338"/>
      <c r="D45" s="338"/>
      <c r="E45" s="338"/>
      <c r="F45" s="337"/>
      <c r="G45" s="337"/>
      <c r="H45" s="339"/>
      <c r="I45" s="340"/>
      <c r="J45" s="341"/>
      <c r="K45" s="342"/>
      <c r="L45" s="342"/>
      <c r="M45" s="342"/>
      <c r="O45" s="449"/>
    </row>
    <row r="46" spans="1:29" s="374" customFormat="1" ht="25.5" x14ac:dyDescent="0.3">
      <c r="A46" s="441"/>
      <c r="B46" s="442"/>
      <c r="C46" s="433"/>
      <c r="D46" s="433"/>
      <c r="E46" s="98"/>
      <c r="F46" s="443"/>
      <c r="G46" s="443"/>
      <c r="H46" s="342"/>
      <c r="I46" s="342"/>
      <c r="J46" s="342"/>
      <c r="K46" s="342"/>
      <c r="L46" s="342"/>
      <c r="M46" s="342"/>
      <c r="O46" s="455"/>
    </row>
    <row r="47" spans="1:29" s="374" customFormat="1" ht="25.5" x14ac:dyDescent="0.3">
      <c r="A47" s="446"/>
      <c r="B47" s="432"/>
      <c r="C47" s="433"/>
      <c r="D47" s="433"/>
      <c r="E47" s="434"/>
      <c r="F47" s="342"/>
      <c r="G47" s="342"/>
      <c r="H47" s="435"/>
      <c r="I47" s="435"/>
      <c r="J47" s="435"/>
      <c r="K47" s="342"/>
      <c r="L47" s="342"/>
      <c r="M47" s="342"/>
      <c r="O47" s="455"/>
    </row>
    <row r="48" spans="1:29" s="374" customFormat="1" ht="24" thickBot="1" x14ac:dyDescent="0.4">
      <c r="A48" s="446"/>
      <c r="B48" s="598" t="s">
        <v>41</v>
      </c>
      <c r="C48" s="598"/>
      <c r="D48" s="598"/>
      <c r="E48" s="598"/>
      <c r="F48" s="598"/>
      <c r="G48" s="598"/>
      <c r="H48" s="598"/>
      <c r="I48" s="598"/>
      <c r="J48" s="447"/>
      <c r="K48" s="342"/>
      <c r="L48" s="342"/>
      <c r="M48" s="342"/>
      <c r="O48" s="455"/>
    </row>
    <row r="49" spans="1:31" s="460" customFormat="1" ht="24.95" customHeight="1" x14ac:dyDescent="0.3">
      <c r="A49" s="446"/>
      <c r="B49" s="599" t="s">
        <v>7</v>
      </c>
      <c r="C49" s="599"/>
      <c r="D49" s="599"/>
      <c r="E49" s="599"/>
      <c r="F49" s="599"/>
      <c r="G49" s="599"/>
      <c r="H49" s="599"/>
      <c r="I49" s="599"/>
      <c r="J49" s="447"/>
      <c r="K49" s="342"/>
      <c r="L49" s="342"/>
      <c r="M49" s="342"/>
      <c r="O49" s="461"/>
    </row>
    <row r="50" spans="1:31" s="460" customFormat="1" ht="24.95" customHeight="1" x14ac:dyDescent="0.35">
      <c r="A50" s="446"/>
      <c r="B50" s="595" t="s">
        <v>8</v>
      </c>
      <c r="C50" s="595"/>
      <c r="D50" s="595"/>
      <c r="E50" s="595"/>
      <c r="F50" s="595"/>
      <c r="G50" s="595"/>
      <c r="H50" s="595"/>
      <c r="I50" s="595"/>
      <c r="J50" s="450"/>
      <c r="K50" s="342"/>
      <c r="L50" s="342"/>
      <c r="M50" s="342"/>
      <c r="O50" s="461"/>
    </row>
    <row r="51" spans="1:31" s="460" customFormat="1" ht="30" customHeight="1" x14ac:dyDescent="0.35">
      <c r="A51" s="446"/>
      <c r="B51" s="595" t="s">
        <v>9</v>
      </c>
      <c r="C51" s="595"/>
      <c r="D51" s="595"/>
      <c r="E51" s="595"/>
      <c r="F51" s="595"/>
      <c r="G51" s="595"/>
      <c r="H51" s="595"/>
      <c r="I51" s="595"/>
      <c r="J51" s="451"/>
      <c r="K51" s="342"/>
      <c r="L51" s="342"/>
      <c r="M51" s="342"/>
      <c r="O51" s="461"/>
    </row>
    <row r="52" spans="1:31" s="460" customFormat="1" ht="30" customHeight="1" x14ac:dyDescent="0.35">
      <c r="A52" s="446"/>
      <c r="B52" s="450"/>
      <c r="C52" s="450"/>
      <c r="D52" s="450"/>
      <c r="E52" s="450"/>
      <c r="F52" s="450"/>
      <c r="G52" s="450"/>
      <c r="H52" s="450"/>
      <c r="I52" s="450"/>
      <c r="J52" s="451"/>
      <c r="K52" s="342"/>
      <c r="L52" s="342"/>
      <c r="M52" s="342"/>
      <c r="O52" s="461"/>
    </row>
    <row r="53" spans="1:31" ht="30" customHeight="1" x14ac:dyDescent="0.35">
      <c r="A53" s="446"/>
      <c r="B53" s="452"/>
      <c r="C53" s="452"/>
      <c r="D53" s="452"/>
      <c r="E53" s="452"/>
      <c r="F53" s="452"/>
      <c r="G53" s="452"/>
      <c r="H53" s="452"/>
      <c r="I53" s="452"/>
      <c r="J53" s="453"/>
      <c r="O53" s="440"/>
    </row>
    <row r="54" spans="1:31" ht="30" customHeight="1" x14ac:dyDescent="0.3">
      <c r="A54" s="454"/>
      <c r="B54" s="454"/>
      <c r="C54" s="339"/>
      <c r="D54" s="339"/>
      <c r="E54" s="339"/>
      <c r="F54" s="454"/>
      <c r="G54" s="454"/>
      <c r="J54" s="340"/>
      <c r="O54" s="440"/>
    </row>
    <row r="55" spans="1:31" x14ac:dyDescent="0.3">
      <c r="A55" s="454"/>
      <c r="B55" s="454"/>
      <c r="C55" s="339"/>
      <c r="D55" s="339"/>
      <c r="E55" s="339"/>
      <c r="F55" s="454"/>
      <c r="G55" s="454"/>
      <c r="J55" s="340"/>
      <c r="O55" s="440"/>
    </row>
    <row r="56" spans="1:31" ht="23.25" x14ac:dyDescent="0.35">
      <c r="A56" s="456" t="s">
        <v>4</v>
      </c>
      <c r="B56" s="457"/>
      <c r="C56" s="349"/>
      <c r="D56" s="349"/>
      <c r="E56" s="458"/>
      <c r="F56" s="357"/>
      <c r="G56" s="357"/>
      <c r="H56" s="349"/>
      <c r="I56" s="459"/>
      <c r="J56" s="354"/>
    </row>
    <row r="57" spans="1:31" ht="23.25" x14ac:dyDescent="0.35">
      <c r="A57" s="456" t="s">
        <v>5</v>
      </c>
      <c r="B57" s="457"/>
      <c r="C57" s="349"/>
      <c r="D57" s="349"/>
      <c r="E57" s="462"/>
      <c r="F57" s="357"/>
      <c r="G57" s="357"/>
      <c r="H57" s="349"/>
      <c r="I57" s="354"/>
      <c r="J57" s="354"/>
    </row>
    <row r="58" spans="1:31" s="479" customFormat="1" ht="34.5" customHeight="1" x14ac:dyDescent="0.35">
      <c r="A58" s="457"/>
      <c r="B58" s="457"/>
      <c r="C58" s="349"/>
      <c r="D58" s="349"/>
      <c r="E58" s="462"/>
      <c r="F58" s="357"/>
      <c r="G58" s="357"/>
      <c r="H58" s="349"/>
      <c r="I58" s="354"/>
      <c r="J58" s="354"/>
      <c r="AD58" s="482"/>
      <c r="AE58" s="482"/>
    </row>
    <row r="59" spans="1:31" s="479" customFormat="1" ht="34.5" customHeight="1" x14ac:dyDescent="0.35">
      <c r="A59" s="457"/>
      <c r="B59" s="457"/>
      <c r="C59" s="349"/>
      <c r="D59" s="349"/>
      <c r="E59" s="462"/>
      <c r="F59" s="357"/>
      <c r="G59" s="357"/>
      <c r="H59" s="349"/>
      <c r="I59" s="354"/>
      <c r="J59" s="354"/>
      <c r="AD59" s="482"/>
      <c r="AE59" s="482"/>
    </row>
    <row r="60" spans="1:31" s="479" customFormat="1" ht="51" customHeight="1" x14ac:dyDescent="0.35">
      <c r="A60" s="596" t="s">
        <v>136</v>
      </c>
      <c r="B60" s="596"/>
      <c r="C60" s="596"/>
      <c r="D60" s="596"/>
      <c r="E60" s="596"/>
      <c r="F60" s="596"/>
      <c r="G60" s="596"/>
      <c r="H60" s="596"/>
      <c r="I60" s="596"/>
      <c r="J60" s="596"/>
      <c r="AD60" s="482"/>
      <c r="AE60" s="482"/>
    </row>
    <row r="61" spans="1:31" s="479" customFormat="1" ht="51" customHeight="1" x14ac:dyDescent="0.35">
      <c r="A61" s="600" t="s">
        <v>10</v>
      </c>
      <c r="B61" s="600"/>
      <c r="C61" s="600"/>
      <c r="D61" s="600"/>
      <c r="E61" s="600"/>
      <c r="F61" s="600"/>
      <c r="G61" s="600"/>
      <c r="H61" s="600"/>
      <c r="I61" s="600"/>
      <c r="J61" s="600"/>
      <c r="AD61" s="482"/>
      <c r="AE61" s="482"/>
    </row>
    <row r="62" spans="1:31" s="479" customFormat="1" ht="34.5" customHeight="1" x14ac:dyDescent="0.35">
      <c r="A62" s="457"/>
      <c r="B62" s="457"/>
      <c r="C62" s="463"/>
      <c r="D62" s="463"/>
      <c r="E62" s="357"/>
      <c r="F62" s="357"/>
      <c r="G62" s="357"/>
      <c r="H62" s="357"/>
      <c r="I62" s="358"/>
      <c r="J62" s="357"/>
    </row>
    <row r="63" spans="1:31" s="412" customFormat="1" ht="58.5" customHeight="1" x14ac:dyDescent="0.35">
      <c r="A63" s="464" t="s">
        <v>66</v>
      </c>
      <c r="B63" s="337"/>
      <c r="C63" s="338"/>
      <c r="D63" s="338"/>
      <c r="E63" s="338"/>
      <c r="F63" s="337"/>
      <c r="G63" s="337"/>
      <c r="H63" s="339"/>
      <c r="I63" s="340"/>
      <c r="J63" s="341"/>
    </row>
    <row r="64" spans="1:31" s="412" customFormat="1" ht="58.5" customHeight="1" thickBot="1" x14ac:dyDescent="0.35">
      <c r="A64" s="337"/>
      <c r="B64" s="337"/>
      <c r="C64" s="338"/>
      <c r="D64" s="338"/>
      <c r="E64" s="338"/>
      <c r="F64" s="337"/>
      <c r="G64" s="337"/>
      <c r="H64" s="339"/>
      <c r="I64" s="340"/>
      <c r="J64" s="341"/>
    </row>
    <row r="65" spans="1:29" s="342" customFormat="1" ht="81.75" customHeight="1" thickTop="1" thickBot="1" x14ac:dyDescent="0.25">
      <c r="A65" s="470" t="s">
        <v>6</v>
      </c>
      <c r="B65" s="371" t="s">
        <v>0</v>
      </c>
      <c r="C65" s="371" t="s">
        <v>11</v>
      </c>
      <c r="D65" s="371" t="s">
        <v>45</v>
      </c>
      <c r="E65" s="371" t="s">
        <v>1</v>
      </c>
      <c r="F65" s="371" t="s">
        <v>16</v>
      </c>
      <c r="G65" s="371" t="s">
        <v>17</v>
      </c>
      <c r="H65" s="371" t="s">
        <v>15</v>
      </c>
      <c r="I65" s="371" t="s">
        <v>137</v>
      </c>
      <c r="J65" s="471" t="s">
        <v>12</v>
      </c>
      <c r="K65" s="342">
        <f>H44*10%</f>
        <v>2466.223</v>
      </c>
      <c r="L65" s="342">
        <f>H44-K65</f>
        <v>22196.006999999998</v>
      </c>
      <c r="M65" s="342">
        <f t="shared" ref="M65:M77" si="8">L65*20%</f>
        <v>4439.2013999999999</v>
      </c>
      <c r="N65" s="408">
        <f t="shared" ref="N65:N77" si="9">M65/365</f>
        <v>12.162195616438355</v>
      </c>
      <c r="O65" s="409">
        <v>358</v>
      </c>
      <c r="P65" s="408">
        <f t="shared" ref="P65:P77" si="10">N65*O65</f>
        <v>4354.0660306849313</v>
      </c>
      <c r="Q65" s="410">
        <v>21414.93</v>
      </c>
      <c r="R65" s="411">
        <f t="shared" ref="R65:R77" si="11">Q65-P65</f>
        <v>17060.863969315069</v>
      </c>
      <c r="T65" s="513">
        <v>21414.93</v>
      </c>
      <c r="X65" s="411"/>
    </row>
    <row r="66" spans="1:29" s="342" customFormat="1" ht="30" customHeight="1" thickTop="1" x14ac:dyDescent="0.3">
      <c r="A66" s="523">
        <v>1</v>
      </c>
      <c r="B66" s="493" t="s">
        <v>130</v>
      </c>
      <c r="C66" s="501">
        <v>42634</v>
      </c>
      <c r="D66" s="510">
        <v>4657</v>
      </c>
      <c r="E66" s="524" t="s">
        <v>74</v>
      </c>
      <c r="F66" s="525" t="s">
        <v>24</v>
      </c>
      <c r="G66" s="526" t="s">
        <v>73</v>
      </c>
      <c r="H66" s="496">
        <v>31743</v>
      </c>
      <c r="I66" s="496">
        <f>'[2]Depreciación ORIGINAL '!V22</f>
        <v>6355.5573698630133</v>
      </c>
      <c r="J66" s="497">
        <f t="shared" ref="J66:J77" si="12">H66-I66</f>
        <v>25387.442630136986</v>
      </c>
      <c r="K66" s="342">
        <f t="shared" ref="K66:K77" si="13">H66*10%</f>
        <v>3174.3</v>
      </c>
      <c r="L66" s="342">
        <f t="shared" ref="L66:L77" si="14">H66-K66</f>
        <v>28568.7</v>
      </c>
      <c r="M66" s="342">
        <f t="shared" si="8"/>
        <v>5713.7400000000007</v>
      </c>
      <c r="N66" s="408">
        <f t="shared" si="9"/>
        <v>15.654082191780823</v>
      </c>
      <c r="O66" s="409">
        <v>283</v>
      </c>
      <c r="P66" s="408">
        <f t="shared" si="10"/>
        <v>4430.1052602739728</v>
      </c>
      <c r="Q66" s="410">
        <v>28737.38</v>
      </c>
      <c r="R66" s="411">
        <f t="shared" si="11"/>
        <v>24307.274739726028</v>
      </c>
      <c r="T66" s="513">
        <v>28737.38</v>
      </c>
      <c r="X66" s="411"/>
      <c r="Y66" s="498"/>
    </row>
    <row r="67" spans="1:29" s="342" customFormat="1" ht="30" customHeight="1" x14ac:dyDescent="0.3">
      <c r="A67" s="523">
        <v>1</v>
      </c>
      <c r="B67" s="493" t="s">
        <v>130</v>
      </c>
      <c r="C67" s="501">
        <v>42634</v>
      </c>
      <c r="D67" s="510">
        <v>4657</v>
      </c>
      <c r="E67" s="524" t="s">
        <v>74</v>
      </c>
      <c r="F67" s="525" t="s">
        <v>24</v>
      </c>
      <c r="G67" s="526" t="s">
        <v>73</v>
      </c>
      <c r="H67" s="496">
        <v>31743</v>
      </c>
      <c r="I67" s="496">
        <f>'[2]Depreciación ORIGINAL '!V23</f>
        <v>6355.5573698630133</v>
      </c>
      <c r="J67" s="497">
        <f t="shared" si="12"/>
        <v>25387.442630136986</v>
      </c>
      <c r="K67" s="342">
        <f t="shared" si="13"/>
        <v>3174.3</v>
      </c>
      <c r="L67" s="342">
        <f t="shared" si="14"/>
        <v>28568.7</v>
      </c>
      <c r="M67" s="342">
        <f t="shared" si="8"/>
        <v>5713.7400000000007</v>
      </c>
      <c r="N67" s="408">
        <f t="shared" si="9"/>
        <v>15.654082191780823</v>
      </c>
      <c r="O67" s="409">
        <v>283</v>
      </c>
      <c r="P67" s="408">
        <f t="shared" si="10"/>
        <v>4430.1052602739728</v>
      </c>
      <c r="Q67" s="410">
        <v>28737.38</v>
      </c>
      <c r="R67" s="411">
        <f t="shared" si="11"/>
        <v>24307.274739726028</v>
      </c>
      <c r="T67" s="513">
        <v>28737.38</v>
      </c>
      <c r="X67" s="411"/>
      <c r="Y67" s="498"/>
    </row>
    <row r="68" spans="1:29" s="342" customFormat="1" ht="30" customHeight="1" x14ac:dyDescent="0.3">
      <c r="A68" s="523">
        <v>1</v>
      </c>
      <c r="B68" s="493" t="s">
        <v>130</v>
      </c>
      <c r="C68" s="501">
        <v>42634</v>
      </c>
      <c r="D68" s="510">
        <v>4657</v>
      </c>
      <c r="E68" s="524" t="s">
        <v>74</v>
      </c>
      <c r="F68" s="525" t="s">
        <v>24</v>
      </c>
      <c r="G68" s="526" t="s">
        <v>73</v>
      </c>
      <c r="H68" s="496">
        <v>31743</v>
      </c>
      <c r="I68" s="496">
        <f>'[2]Depreciación ORIGINAL '!V24</f>
        <v>6355.5573698630133</v>
      </c>
      <c r="J68" s="497">
        <f t="shared" si="12"/>
        <v>25387.442630136986</v>
      </c>
      <c r="K68" s="342">
        <f t="shared" si="13"/>
        <v>3174.3</v>
      </c>
      <c r="L68" s="342">
        <f t="shared" si="14"/>
        <v>28568.7</v>
      </c>
      <c r="M68" s="342">
        <f t="shared" si="8"/>
        <v>5713.7400000000007</v>
      </c>
      <c r="N68" s="408">
        <f t="shared" si="9"/>
        <v>15.654082191780823</v>
      </c>
      <c r="O68" s="409">
        <v>283</v>
      </c>
      <c r="P68" s="408">
        <f t="shared" si="10"/>
        <v>4430.1052602739728</v>
      </c>
      <c r="Q68" s="410">
        <v>28737.38</v>
      </c>
      <c r="R68" s="411">
        <f t="shared" si="11"/>
        <v>24307.274739726028</v>
      </c>
      <c r="T68" s="513">
        <v>28737.38</v>
      </c>
      <c r="X68" s="411"/>
      <c r="Y68" s="498"/>
    </row>
    <row r="69" spans="1:29" s="342" customFormat="1" ht="30" customHeight="1" x14ac:dyDescent="0.3">
      <c r="A69" s="523">
        <v>1</v>
      </c>
      <c r="B69" s="493" t="s">
        <v>130</v>
      </c>
      <c r="C69" s="501">
        <v>42634</v>
      </c>
      <c r="D69" s="510">
        <v>4657</v>
      </c>
      <c r="E69" s="524" t="s">
        <v>74</v>
      </c>
      <c r="F69" s="525" t="s">
        <v>24</v>
      </c>
      <c r="G69" s="526" t="s">
        <v>73</v>
      </c>
      <c r="H69" s="496">
        <v>31743</v>
      </c>
      <c r="I69" s="496">
        <f>'[2]Depreciación ORIGINAL '!V25</f>
        <v>6355.5573698630133</v>
      </c>
      <c r="J69" s="497">
        <f t="shared" si="12"/>
        <v>25387.442630136986</v>
      </c>
      <c r="K69" s="342">
        <f t="shared" si="13"/>
        <v>3174.3</v>
      </c>
      <c r="L69" s="342">
        <f t="shared" si="14"/>
        <v>28568.7</v>
      </c>
      <c r="M69" s="342">
        <f t="shared" si="8"/>
        <v>5713.7400000000007</v>
      </c>
      <c r="N69" s="408">
        <f t="shared" si="9"/>
        <v>15.654082191780823</v>
      </c>
      <c r="O69" s="409">
        <v>283</v>
      </c>
      <c r="P69" s="408">
        <f t="shared" si="10"/>
        <v>4430.1052602739728</v>
      </c>
      <c r="Q69" s="410">
        <v>28737.38</v>
      </c>
      <c r="R69" s="411">
        <f t="shared" si="11"/>
        <v>24307.274739726028</v>
      </c>
      <c r="T69" s="513">
        <v>28737.38</v>
      </c>
      <c r="X69" s="411"/>
      <c r="Y69" s="498"/>
    </row>
    <row r="70" spans="1:29" s="342" customFormat="1" ht="30" customHeight="1" x14ac:dyDescent="0.3">
      <c r="A70" s="523">
        <v>1</v>
      </c>
      <c r="B70" s="493" t="s">
        <v>130</v>
      </c>
      <c r="C70" s="501">
        <v>42634</v>
      </c>
      <c r="D70" s="510">
        <v>4657</v>
      </c>
      <c r="E70" s="524" t="s">
        <v>74</v>
      </c>
      <c r="F70" s="525" t="s">
        <v>24</v>
      </c>
      <c r="G70" s="526" t="s">
        <v>73</v>
      </c>
      <c r="H70" s="496">
        <v>31743</v>
      </c>
      <c r="I70" s="496">
        <f>'[2]Depreciación ORIGINAL '!V26</f>
        <v>6355.5573698630133</v>
      </c>
      <c r="J70" s="497">
        <f t="shared" si="12"/>
        <v>25387.442630136986</v>
      </c>
      <c r="K70" s="342">
        <f t="shared" si="13"/>
        <v>3174.3</v>
      </c>
      <c r="L70" s="342">
        <f t="shared" si="14"/>
        <v>28568.7</v>
      </c>
      <c r="M70" s="342">
        <f t="shared" si="8"/>
        <v>5713.7400000000007</v>
      </c>
      <c r="N70" s="408">
        <f t="shared" si="9"/>
        <v>15.654082191780823</v>
      </c>
      <c r="O70" s="409">
        <v>283</v>
      </c>
      <c r="P70" s="408">
        <f t="shared" si="10"/>
        <v>4430.1052602739728</v>
      </c>
      <c r="Q70" s="410">
        <v>28737.38</v>
      </c>
      <c r="R70" s="411">
        <f t="shared" si="11"/>
        <v>24307.274739726028</v>
      </c>
      <c r="T70" s="513">
        <v>28737.38</v>
      </c>
      <c r="X70" s="411"/>
      <c r="Y70" s="498"/>
    </row>
    <row r="71" spans="1:29" s="342" customFormat="1" ht="30" customHeight="1" x14ac:dyDescent="0.3">
      <c r="A71" s="523">
        <v>1</v>
      </c>
      <c r="B71" s="493" t="s">
        <v>130</v>
      </c>
      <c r="C71" s="501">
        <v>42634</v>
      </c>
      <c r="D71" s="510">
        <v>4657</v>
      </c>
      <c r="E71" s="524" t="s">
        <v>74</v>
      </c>
      <c r="F71" s="525" t="s">
        <v>24</v>
      </c>
      <c r="G71" s="526" t="s">
        <v>73</v>
      </c>
      <c r="H71" s="496">
        <v>31743</v>
      </c>
      <c r="I71" s="496">
        <f>'[2]Depreciación ORIGINAL '!V27</f>
        <v>6355.5573698630133</v>
      </c>
      <c r="J71" s="497">
        <f t="shared" si="12"/>
        <v>25387.442630136986</v>
      </c>
      <c r="K71" s="342">
        <f t="shared" si="13"/>
        <v>3174.3</v>
      </c>
      <c r="L71" s="342">
        <f t="shared" si="14"/>
        <v>28568.7</v>
      </c>
      <c r="M71" s="342">
        <f t="shared" si="8"/>
        <v>5713.7400000000007</v>
      </c>
      <c r="N71" s="408">
        <f t="shared" si="9"/>
        <v>15.654082191780823</v>
      </c>
      <c r="O71" s="409">
        <v>283</v>
      </c>
      <c r="P71" s="408">
        <f t="shared" si="10"/>
        <v>4430.1052602739728</v>
      </c>
      <c r="Q71" s="410">
        <v>28737.38</v>
      </c>
      <c r="R71" s="411">
        <f t="shared" si="11"/>
        <v>24307.274739726028</v>
      </c>
      <c r="T71" s="513">
        <v>28737.38</v>
      </c>
      <c r="X71" s="411"/>
      <c r="Y71" s="498"/>
      <c r="Z71" s="594" t="s">
        <v>122</v>
      </c>
      <c r="AA71" s="594"/>
      <c r="AB71" s="594"/>
      <c r="AC71" s="527"/>
    </row>
    <row r="72" spans="1:29" s="342" customFormat="1" ht="30" customHeight="1" x14ac:dyDescent="0.3">
      <c r="A72" s="523">
        <v>1</v>
      </c>
      <c r="B72" s="493" t="s">
        <v>130</v>
      </c>
      <c r="C72" s="501">
        <v>42634</v>
      </c>
      <c r="D72" s="510">
        <v>4657</v>
      </c>
      <c r="E72" s="524" t="s">
        <v>74</v>
      </c>
      <c r="F72" s="525" t="s">
        <v>24</v>
      </c>
      <c r="G72" s="526" t="s">
        <v>73</v>
      </c>
      <c r="H72" s="496">
        <v>31743</v>
      </c>
      <c r="I72" s="496">
        <f>'[2]Depreciación ORIGINAL '!V28</f>
        <v>6355.5573698630133</v>
      </c>
      <c r="J72" s="497">
        <f t="shared" si="12"/>
        <v>25387.442630136986</v>
      </c>
      <c r="K72" s="342">
        <f t="shared" si="13"/>
        <v>3174.3</v>
      </c>
      <c r="L72" s="342">
        <f t="shared" si="14"/>
        <v>28568.7</v>
      </c>
      <c r="M72" s="342">
        <f t="shared" si="8"/>
        <v>5713.7400000000007</v>
      </c>
      <c r="N72" s="408">
        <f t="shared" si="9"/>
        <v>15.654082191780823</v>
      </c>
      <c r="O72" s="409">
        <v>283</v>
      </c>
      <c r="P72" s="408">
        <f t="shared" si="10"/>
        <v>4430.1052602739728</v>
      </c>
      <c r="Q72" s="410">
        <v>28737.38</v>
      </c>
      <c r="R72" s="411">
        <f t="shared" si="11"/>
        <v>24307.274739726028</v>
      </c>
      <c r="T72" s="513">
        <v>28737.38</v>
      </c>
      <c r="X72" s="411"/>
      <c r="Y72" s="498"/>
    </row>
    <row r="73" spans="1:29" s="342" customFormat="1" ht="30" customHeight="1" x14ac:dyDescent="0.3">
      <c r="A73" s="523">
        <v>1</v>
      </c>
      <c r="B73" s="493" t="s">
        <v>130</v>
      </c>
      <c r="C73" s="501">
        <v>42634</v>
      </c>
      <c r="D73" s="510">
        <v>4657</v>
      </c>
      <c r="E73" s="524" t="s">
        <v>74</v>
      </c>
      <c r="F73" s="525" t="s">
        <v>24</v>
      </c>
      <c r="G73" s="526" t="s">
        <v>73</v>
      </c>
      <c r="H73" s="496">
        <v>31743</v>
      </c>
      <c r="I73" s="496">
        <f>'[2]Depreciación ORIGINAL '!V29</f>
        <v>6355.5573698630133</v>
      </c>
      <c r="J73" s="497">
        <f t="shared" si="12"/>
        <v>25387.442630136986</v>
      </c>
      <c r="K73" s="342">
        <f t="shared" si="13"/>
        <v>3174.3</v>
      </c>
      <c r="L73" s="342">
        <f t="shared" si="14"/>
        <v>28568.7</v>
      </c>
      <c r="M73" s="342">
        <f t="shared" si="8"/>
        <v>5713.7400000000007</v>
      </c>
      <c r="N73" s="408">
        <f t="shared" si="9"/>
        <v>15.654082191780823</v>
      </c>
      <c r="O73" s="409">
        <v>283</v>
      </c>
      <c r="P73" s="408">
        <f t="shared" si="10"/>
        <v>4430.1052602739728</v>
      </c>
      <c r="Q73" s="410">
        <v>28737.38</v>
      </c>
      <c r="R73" s="411">
        <f t="shared" si="11"/>
        <v>24307.274739726028</v>
      </c>
      <c r="T73" s="513">
        <v>28737.38</v>
      </c>
      <c r="X73" s="411"/>
      <c r="Y73" s="498"/>
    </row>
    <row r="74" spans="1:29" s="342" customFormat="1" ht="48.95" customHeight="1" x14ac:dyDescent="0.3">
      <c r="A74" s="523">
        <v>1</v>
      </c>
      <c r="B74" s="493" t="s">
        <v>130</v>
      </c>
      <c r="C74" s="501">
        <v>42634</v>
      </c>
      <c r="D74" s="510">
        <v>4658</v>
      </c>
      <c r="E74" s="524" t="s">
        <v>75</v>
      </c>
      <c r="F74" s="525" t="s">
        <v>24</v>
      </c>
      <c r="G74" s="526" t="s">
        <v>72</v>
      </c>
      <c r="H74" s="496">
        <v>37805</v>
      </c>
      <c r="I74" s="496">
        <f>'[2]Depreciación ORIGINAL '!V30</f>
        <v>7569.2860273972592</v>
      </c>
      <c r="J74" s="497">
        <f t="shared" si="12"/>
        <v>30235.713972602742</v>
      </c>
      <c r="K74" s="342">
        <f t="shared" si="13"/>
        <v>3780.5</v>
      </c>
      <c r="L74" s="342">
        <f t="shared" si="14"/>
        <v>34024.5</v>
      </c>
      <c r="M74" s="342">
        <f t="shared" si="8"/>
        <v>6804.9000000000005</v>
      </c>
      <c r="N74" s="408">
        <f t="shared" si="9"/>
        <v>18.643561643835618</v>
      </c>
      <c r="O74" s="409">
        <v>283</v>
      </c>
      <c r="P74" s="408">
        <f t="shared" si="10"/>
        <v>5276.1279452054796</v>
      </c>
      <c r="Q74" s="410">
        <v>34225.43</v>
      </c>
      <c r="R74" s="411">
        <f t="shared" si="11"/>
        <v>28949.30205479452</v>
      </c>
      <c r="T74" s="422">
        <v>34225.43</v>
      </c>
      <c r="X74" s="411"/>
      <c r="Y74" s="498"/>
    </row>
    <row r="75" spans="1:29" s="342" customFormat="1" ht="48.95" customHeight="1" x14ac:dyDescent="0.3">
      <c r="A75" s="523">
        <v>1</v>
      </c>
      <c r="B75" s="493" t="s">
        <v>130</v>
      </c>
      <c r="C75" s="501">
        <v>42634</v>
      </c>
      <c r="D75" s="510">
        <v>4658</v>
      </c>
      <c r="E75" s="524" t="s">
        <v>76</v>
      </c>
      <c r="F75" s="525" t="s">
        <v>24</v>
      </c>
      <c r="G75" s="526" t="s">
        <v>72</v>
      </c>
      <c r="H75" s="496">
        <v>37805</v>
      </c>
      <c r="I75" s="496">
        <f>'[2]Depreciación ORIGINAL '!V31</f>
        <v>7569.2860273972592</v>
      </c>
      <c r="J75" s="497">
        <f t="shared" si="12"/>
        <v>30235.713972602742</v>
      </c>
      <c r="K75" s="342">
        <f t="shared" si="13"/>
        <v>3780.5</v>
      </c>
      <c r="L75" s="342">
        <f t="shared" si="14"/>
        <v>34024.5</v>
      </c>
      <c r="M75" s="342">
        <f t="shared" si="8"/>
        <v>6804.9000000000005</v>
      </c>
      <c r="N75" s="408">
        <f t="shared" si="9"/>
        <v>18.643561643835618</v>
      </c>
      <c r="O75" s="409">
        <v>283</v>
      </c>
      <c r="P75" s="408">
        <f t="shared" si="10"/>
        <v>5276.1279452054796</v>
      </c>
      <c r="Q75" s="410">
        <v>34225.43</v>
      </c>
      <c r="R75" s="411">
        <f t="shared" si="11"/>
        <v>28949.30205479452</v>
      </c>
      <c r="T75" s="422">
        <v>34225.43</v>
      </c>
      <c r="X75" s="411"/>
      <c r="Y75" s="498"/>
    </row>
    <row r="76" spans="1:29" s="342" customFormat="1" ht="30" customHeight="1" x14ac:dyDescent="0.3">
      <c r="A76" s="523">
        <v>1</v>
      </c>
      <c r="B76" s="493" t="s">
        <v>130</v>
      </c>
      <c r="C76" s="501">
        <v>42634</v>
      </c>
      <c r="D76" s="510">
        <v>4658</v>
      </c>
      <c r="E76" s="524" t="s">
        <v>77</v>
      </c>
      <c r="F76" s="525" t="s">
        <v>24</v>
      </c>
      <c r="G76" s="526" t="s">
        <v>71</v>
      </c>
      <c r="H76" s="496">
        <v>37805</v>
      </c>
      <c r="I76" s="496">
        <f>'[2]Depreciación ORIGINAL '!V32</f>
        <v>7569.2860273972592</v>
      </c>
      <c r="J76" s="497">
        <f t="shared" si="12"/>
        <v>30235.713972602742</v>
      </c>
      <c r="K76" s="342">
        <f t="shared" si="13"/>
        <v>3780.5</v>
      </c>
      <c r="L76" s="342">
        <f t="shared" si="14"/>
        <v>34024.5</v>
      </c>
      <c r="M76" s="342">
        <f t="shared" si="8"/>
        <v>6804.9000000000005</v>
      </c>
      <c r="N76" s="408">
        <f t="shared" si="9"/>
        <v>18.643561643835618</v>
      </c>
      <c r="O76" s="409">
        <v>283</v>
      </c>
      <c r="P76" s="408">
        <f t="shared" si="10"/>
        <v>5276.1279452054796</v>
      </c>
      <c r="Q76" s="410">
        <v>34225.43</v>
      </c>
      <c r="R76" s="411">
        <f t="shared" si="11"/>
        <v>28949.30205479452</v>
      </c>
      <c r="T76" s="422">
        <v>34225.43</v>
      </c>
      <c r="X76" s="411"/>
      <c r="Y76" s="498"/>
    </row>
    <row r="77" spans="1:29" s="342" customFormat="1" ht="30" customHeight="1" x14ac:dyDescent="0.2">
      <c r="A77" s="523">
        <v>1</v>
      </c>
      <c r="B77" s="493" t="s">
        <v>130</v>
      </c>
      <c r="C77" s="501">
        <v>42634</v>
      </c>
      <c r="D77" s="510">
        <v>4658</v>
      </c>
      <c r="E77" s="524" t="s">
        <v>77</v>
      </c>
      <c r="F77" s="525" t="s">
        <v>24</v>
      </c>
      <c r="G77" s="526" t="s">
        <v>71</v>
      </c>
      <c r="H77" s="496">
        <v>37805</v>
      </c>
      <c r="I77" s="496">
        <f>'[2]Depreciación ORIGINAL '!V33</f>
        <v>7569.2860273972592</v>
      </c>
      <c r="J77" s="497">
        <f t="shared" si="12"/>
        <v>30235.713972602742</v>
      </c>
      <c r="K77" s="342">
        <f t="shared" si="13"/>
        <v>3780.5</v>
      </c>
      <c r="L77" s="342">
        <f t="shared" si="14"/>
        <v>34024.5</v>
      </c>
      <c r="M77" s="342">
        <f t="shared" si="8"/>
        <v>6804.9000000000005</v>
      </c>
      <c r="N77" s="408">
        <f t="shared" si="9"/>
        <v>18.643561643835618</v>
      </c>
      <c r="O77" s="409">
        <v>283</v>
      </c>
      <c r="P77" s="408">
        <f t="shared" si="10"/>
        <v>5276.1279452054796</v>
      </c>
      <c r="Q77" s="410">
        <v>34225.43</v>
      </c>
      <c r="R77" s="411">
        <f t="shared" si="11"/>
        <v>28949.30205479452</v>
      </c>
      <c r="T77" s="422">
        <v>34225.43</v>
      </c>
      <c r="X77" s="411"/>
    </row>
    <row r="78" spans="1:29" s="342" customFormat="1" ht="25.5" x14ac:dyDescent="0.2">
      <c r="A78" s="446"/>
      <c r="B78" s="432"/>
      <c r="C78" s="433"/>
      <c r="D78" s="433"/>
      <c r="E78" s="434"/>
      <c r="H78" s="435"/>
      <c r="I78" s="435"/>
      <c r="J78" s="435"/>
      <c r="O78" s="437"/>
    </row>
    <row r="79" spans="1:29" s="342" customFormat="1" ht="25.5" x14ac:dyDescent="0.2">
      <c r="A79" s="446"/>
      <c r="B79" s="432"/>
      <c r="C79" s="433"/>
      <c r="D79" s="433"/>
      <c r="E79" s="434"/>
      <c r="H79" s="435"/>
      <c r="I79" s="435"/>
      <c r="J79" s="435"/>
      <c r="O79" s="437"/>
    </row>
    <row r="80" spans="1:29" s="342" customFormat="1" ht="25.5" x14ac:dyDescent="0.2">
      <c r="A80" s="446"/>
      <c r="B80" s="432"/>
      <c r="C80" s="433"/>
      <c r="D80" s="433"/>
      <c r="E80" s="434"/>
      <c r="H80" s="435"/>
      <c r="I80" s="435"/>
      <c r="J80" s="435"/>
      <c r="O80" s="437"/>
    </row>
    <row r="81" spans="1:15" s="342" customFormat="1" ht="25.5" x14ac:dyDescent="0.2">
      <c r="A81" s="446"/>
      <c r="B81" s="432"/>
      <c r="C81" s="433"/>
      <c r="D81" s="433"/>
      <c r="E81" s="434"/>
      <c r="H81" s="435"/>
      <c r="I81" s="435"/>
      <c r="J81" s="435"/>
      <c r="O81" s="437"/>
    </row>
    <row r="82" spans="1:15" s="342" customFormat="1" ht="25.5" x14ac:dyDescent="0.2">
      <c r="A82" s="446"/>
      <c r="B82" s="432"/>
      <c r="C82" s="433"/>
      <c r="D82" s="433"/>
      <c r="E82" s="434"/>
      <c r="H82" s="435"/>
      <c r="I82" s="435"/>
      <c r="J82" s="435"/>
      <c r="O82" s="437"/>
    </row>
    <row r="83" spans="1:15" s="342" customFormat="1" ht="25.5" x14ac:dyDescent="0.2">
      <c r="A83" s="446"/>
      <c r="B83" s="432"/>
      <c r="C83" s="433"/>
      <c r="D83" s="433"/>
      <c r="E83" s="434"/>
      <c r="H83" s="435"/>
      <c r="I83" s="435"/>
      <c r="J83" s="435"/>
      <c r="O83" s="437"/>
    </row>
    <row r="84" spans="1:15" s="342" customFormat="1" ht="25.5" x14ac:dyDescent="0.2">
      <c r="A84" s="446"/>
      <c r="B84" s="432"/>
      <c r="C84" s="433"/>
      <c r="D84" s="433"/>
      <c r="E84" s="434"/>
      <c r="H84" s="435"/>
      <c r="I84" s="435"/>
      <c r="J84" s="435"/>
      <c r="O84" s="437"/>
    </row>
    <row r="85" spans="1:15" s="342" customFormat="1" ht="25.5" x14ac:dyDescent="0.2">
      <c r="A85" s="446"/>
      <c r="B85" s="432"/>
      <c r="C85" s="433"/>
      <c r="D85" s="433"/>
      <c r="E85" s="434"/>
      <c r="H85" s="435"/>
      <c r="I85" s="435"/>
      <c r="J85" s="435"/>
      <c r="O85" s="437"/>
    </row>
    <row r="86" spans="1:15" s="342" customFormat="1" ht="25.5" x14ac:dyDescent="0.2">
      <c r="A86" s="446"/>
      <c r="B86" s="432"/>
      <c r="C86" s="433"/>
      <c r="D86" s="433"/>
      <c r="E86" s="434"/>
      <c r="H86" s="435"/>
      <c r="I86" s="435"/>
      <c r="J86" s="435"/>
      <c r="O86" s="437"/>
    </row>
    <row r="87" spans="1:15" s="342" customFormat="1" ht="25.5" x14ac:dyDescent="0.2">
      <c r="A87" s="446"/>
      <c r="B87" s="432"/>
      <c r="C87" s="433"/>
      <c r="D87" s="433"/>
      <c r="E87" s="434"/>
      <c r="H87" s="435"/>
      <c r="I87" s="435"/>
      <c r="J87" s="435"/>
      <c r="O87" s="437"/>
    </row>
    <row r="88" spans="1:15" s="342" customFormat="1" ht="25.5" x14ac:dyDescent="0.2">
      <c r="A88" s="446"/>
      <c r="B88" s="432"/>
      <c r="C88" s="433"/>
      <c r="D88" s="433"/>
      <c r="E88" s="434"/>
      <c r="H88" s="435"/>
      <c r="I88" s="435"/>
      <c r="J88" s="435"/>
      <c r="O88" s="437"/>
    </row>
    <row r="89" spans="1:15" s="342" customFormat="1" ht="25.5" x14ac:dyDescent="0.2">
      <c r="A89" s="446"/>
      <c r="B89" s="432"/>
      <c r="C89" s="433"/>
      <c r="D89" s="433"/>
      <c r="E89" s="434"/>
      <c r="H89" s="435"/>
      <c r="I89" s="435"/>
      <c r="J89" s="435"/>
      <c r="O89" s="437"/>
    </row>
    <row r="90" spans="1:15" s="342" customFormat="1" ht="25.5" x14ac:dyDescent="0.2">
      <c r="A90" s="446"/>
      <c r="B90" s="432"/>
      <c r="C90" s="433"/>
      <c r="D90" s="433"/>
      <c r="E90" s="434"/>
      <c r="H90" s="435"/>
      <c r="I90" s="435"/>
      <c r="J90" s="435"/>
      <c r="O90" s="437"/>
    </row>
    <row r="91" spans="1:15" s="342" customFormat="1" ht="25.5" x14ac:dyDescent="0.2">
      <c r="A91" s="446"/>
      <c r="B91" s="432"/>
      <c r="C91" s="433"/>
      <c r="D91" s="433"/>
      <c r="E91" s="434"/>
      <c r="H91" s="435"/>
      <c r="I91" s="435"/>
      <c r="J91" s="435"/>
      <c r="O91" s="437"/>
    </row>
    <row r="92" spans="1:15" s="342" customFormat="1" ht="25.5" x14ac:dyDescent="0.2">
      <c r="A92" s="446"/>
      <c r="B92" s="432"/>
      <c r="C92" s="433"/>
      <c r="D92" s="433"/>
      <c r="E92" s="434"/>
      <c r="H92" s="435"/>
      <c r="I92" s="435"/>
      <c r="J92" s="435"/>
      <c r="O92" s="437"/>
    </row>
    <row r="93" spans="1:15" s="342" customFormat="1" ht="25.5" x14ac:dyDescent="0.2">
      <c r="A93" s="446"/>
      <c r="B93" s="432"/>
      <c r="C93" s="433"/>
      <c r="D93" s="433"/>
      <c r="E93" s="434"/>
      <c r="H93" s="435"/>
      <c r="I93" s="435"/>
      <c r="J93" s="435"/>
      <c r="O93" s="437"/>
    </row>
    <row r="94" spans="1:15" s="342" customFormat="1" ht="25.5" x14ac:dyDescent="0.2">
      <c r="A94" s="446"/>
      <c r="B94" s="432"/>
      <c r="C94" s="433"/>
      <c r="D94" s="433"/>
      <c r="E94" s="434"/>
      <c r="H94" s="435"/>
      <c r="I94" s="435"/>
      <c r="J94" s="435"/>
      <c r="O94" s="437"/>
    </row>
    <row r="95" spans="1:15" s="342" customFormat="1" ht="25.5" x14ac:dyDescent="0.2">
      <c r="A95" s="446"/>
      <c r="B95" s="432"/>
      <c r="C95" s="433"/>
      <c r="D95" s="433"/>
      <c r="E95" s="434"/>
      <c r="H95" s="435"/>
      <c r="I95" s="435"/>
      <c r="J95" s="435"/>
      <c r="O95" s="437"/>
    </row>
    <row r="96" spans="1:15" s="342" customFormat="1" ht="25.5" x14ac:dyDescent="0.2">
      <c r="A96" s="446"/>
      <c r="B96" s="432"/>
      <c r="C96" s="433"/>
      <c r="D96" s="433"/>
      <c r="E96" s="434"/>
      <c r="H96" s="435"/>
      <c r="I96" s="435"/>
      <c r="J96" s="435"/>
      <c r="O96" s="437"/>
    </row>
    <row r="97" spans="1:15" s="342" customFormat="1" ht="25.5" x14ac:dyDescent="0.2">
      <c r="A97" s="446"/>
      <c r="B97" s="432"/>
      <c r="C97" s="433"/>
      <c r="D97" s="433"/>
      <c r="E97" s="434"/>
      <c r="H97" s="435"/>
      <c r="I97" s="435"/>
      <c r="J97" s="435"/>
      <c r="O97" s="437"/>
    </row>
    <row r="98" spans="1:15" s="342" customFormat="1" ht="25.5" x14ac:dyDescent="0.2">
      <c r="A98" s="446"/>
      <c r="B98" s="432"/>
      <c r="C98" s="433"/>
      <c r="D98" s="433"/>
      <c r="E98" s="434"/>
      <c r="H98" s="435"/>
      <c r="I98" s="435"/>
      <c r="J98" s="435"/>
      <c r="O98" s="437"/>
    </row>
    <row r="99" spans="1:15" s="342" customFormat="1" ht="25.5" x14ac:dyDescent="0.2">
      <c r="A99" s="446"/>
      <c r="B99" s="432"/>
      <c r="C99" s="433"/>
      <c r="D99" s="433"/>
      <c r="E99" s="434"/>
      <c r="H99" s="435"/>
      <c r="I99" s="435"/>
      <c r="J99" s="435"/>
      <c r="O99" s="437"/>
    </row>
    <row r="100" spans="1:15" s="342" customFormat="1" ht="25.5" x14ac:dyDescent="0.2">
      <c r="A100" s="446"/>
      <c r="B100" s="432"/>
      <c r="C100" s="433"/>
      <c r="D100" s="433"/>
      <c r="E100" s="434"/>
      <c r="H100" s="435"/>
      <c r="I100" s="435"/>
      <c r="J100" s="435"/>
      <c r="O100" s="437"/>
    </row>
    <row r="101" spans="1:15" s="342" customFormat="1" ht="25.5" x14ac:dyDescent="0.2">
      <c r="A101" s="446"/>
      <c r="B101" s="432"/>
      <c r="C101" s="433"/>
      <c r="D101" s="433"/>
      <c r="E101" s="434"/>
      <c r="H101" s="435"/>
      <c r="I101" s="435"/>
      <c r="J101" s="435"/>
      <c r="O101" s="437"/>
    </row>
    <row r="102" spans="1:15" ht="24" thickBot="1" x14ac:dyDescent="0.4">
      <c r="A102" s="446"/>
      <c r="B102" s="598" t="s">
        <v>41</v>
      </c>
      <c r="C102" s="598"/>
      <c r="D102" s="598"/>
      <c r="E102" s="598"/>
      <c r="F102" s="598"/>
      <c r="G102" s="598"/>
      <c r="H102" s="598"/>
      <c r="I102" s="598"/>
      <c r="J102" s="447"/>
      <c r="O102" s="440"/>
    </row>
    <row r="103" spans="1:15" ht="23.25" x14ac:dyDescent="0.3">
      <c r="A103" s="446"/>
      <c r="B103" s="599" t="s">
        <v>7</v>
      </c>
      <c r="C103" s="599"/>
      <c r="D103" s="599"/>
      <c r="E103" s="599"/>
      <c r="F103" s="599"/>
      <c r="G103" s="599"/>
      <c r="H103" s="599"/>
      <c r="I103" s="599"/>
      <c r="J103" s="447"/>
      <c r="O103" s="440"/>
    </row>
    <row r="104" spans="1:15" ht="23.25" x14ac:dyDescent="0.35">
      <c r="A104" s="446"/>
      <c r="B104" s="595" t="s">
        <v>8</v>
      </c>
      <c r="C104" s="595"/>
      <c r="D104" s="595"/>
      <c r="E104" s="595"/>
      <c r="F104" s="595"/>
      <c r="G104" s="595"/>
      <c r="H104" s="595"/>
      <c r="I104" s="595"/>
      <c r="J104" s="450"/>
      <c r="O104" s="440"/>
    </row>
    <row r="105" spans="1:15" ht="23.25" x14ac:dyDescent="0.35">
      <c r="A105" s="446"/>
      <c r="B105" s="595" t="s">
        <v>9</v>
      </c>
      <c r="C105" s="595"/>
      <c r="D105" s="595"/>
      <c r="E105" s="595"/>
      <c r="F105" s="595"/>
      <c r="G105" s="595"/>
      <c r="H105" s="595"/>
      <c r="I105" s="595"/>
      <c r="J105" s="451"/>
      <c r="O105" s="440"/>
    </row>
    <row r="106" spans="1:15" ht="23.25" x14ac:dyDescent="0.35">
      <c r="A106" s="446"/>
      <c r="B106" s="450"/>
      <c r="C106" s="450"/>
      <c r="D106" s="450"/>
      <c r="E106" s="450"/>
      <c r="F106" s="450"/>
      <c r="G106" s="450"/>
      <c r="H106" s="450"/>
      <c r="I106" s="450"/>
      <c r="J106" s="451"/>
      <c r="O106" s="440"/>
    </row>
    <row r="107" spans="1:15" ht="23.25" x14ac:dyDescent="0.35">
      <c r="A107" s="446"/>
      <c r="B107" s="452"/>
      <c r="C107" s="452"/>
      <c r="D107" s="452"/>
      <c r="E107" s="452"/>
      <c r="F107" s="452"/>
      <c r="G107" s="452"/>
      <c r="H107" s="452"/>
      <c r="I107" s="452"/>
      <c r="J107" s="453"/>
      <c r="O107" s="440"/>
    </row>
    <row r="108" spans="1:15" x14ac:dyDescent="0.3">
      <c r="O108" s="440"/>
    </row>
    <row r="109" spans="1:15" x14ac:dyDescent="0.3">
      <c r="O109" s="440"/>
    </row>
  </sheetData>
  <mergeCells count="18">
    <mergeCell ref="B103:I103"/>
    <mergeCell ref="AB26:AC26"/>
    <mergeCell ref="Z30:AB30"/>
    <mergeCell ref="Z71:AB71"/>
    <mergeCell ref="B102:I102"/>
    <mergeCell ref="B51:I51"/>
    <mergeCell ref="A60:J60"/>
    <mergeCell ref="A61:J61"/>
    <mergeCell ref="AA33:AB33"/>
    <mergeCell ref="AA38:AC38"/>
    <mergeCell ref="B104:I104"/>
    <mergeCell ref="B105:I105"/>
    <mergeCell ref="A4:J4"/>
    <mergeCell ref="A5:J5"/>
    <mergeCell ref="Z18:AB18"/>
    <mergeCell ref="B48:I48"/>
    <mergeCell ref="B49:I49"/>
    <mergeCell ref="B50:I50"/>
  </mergeCells>
  <printOptions horizontalCentered="1"/>
  <pageMargins left="0.15748031496062992" right="0.15748031496062992" top="0.27559055118110237" bottom="0.23622047244094491" header="0" footer="0"/>
  <pageSetup scale="4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43"/>
  <sheetViews>
    <sheetView topLeftCell="A22" zoomScale="50" zoomScaleNormal="50" zoomScalePageLayoutView="75" workbookViewId="0">
      <selection activeCell="I26" sqref="I26:I27"/>
    </sheetView>
  </sheetViews>
  <sheetFormatPr baseColWidth="10" defaultRowHeight="21.75" x14ac:dyDescent="0.3"/>
  <cols>
    <col min="1" max="1" width="20" style="10" customWidth="1"/>
    <col min="2" max="2" width="28" style="10" customWidth="1"/>
    <col min="3" max="3" width="21.5703125" style="11" customWidth="1"/>
    <col min="4" max="4" width="25.28515625" style="11" customWidth="1"/>
    <col min="5" max="5" width="44.85546875" style="11" customWidth="1"/>
    <col min="6" max="6" width="27.28515625" style="10" customWidth="1"/>
    <col min="7" max="7" width="33.28515625" style="10" customWidth="1"/>
    <col min="8" max="8" width="27.140625" style="12" customWidth="1"/>
    <col min="9" max="9" width="31.28515625" style="13" customWidth="1"/>
    <col min="10" max="10" width="23.140625" style="15" customWidth="1"/>
    <col min="11" max="13" width="20.7109375" style="112" hidden="1" customWidth="1"/>
    <col min="14" max="15" width="20.7109375" style="3" hidden="1" customWidth="1"/>
    <col min="16" max="17" width="23.42578125" style="3" hidden="1" customWidth="1"/>
    <col min="18" max="18" width="21.28515625" style="3" hidden="1" customWidth="1"/>
    <col min="19" max="19" width="11.42578125" style="3" hidden="1" customWidth="1"/>
    <col min="20" max="20" width="32" style="3" hidden="1" customWidth="1"/>
    <col min="21" max="21" width="23.7109375" style="3" hidden="1" customWidth="1"/>
    <col min="22" max="22" width="21.42578125" style="3" hidden="1" customWidth="1"/>
    <col min="23" max="23" width="22.85546875" style="3" hidden="1" customWidth="1"/>
    <col min="24" max="24" width="11.42578125" style="3" hidden="1" customWidth="1"/>
    <col min="25" max="25" width="17.42578125" style="3" hidden="1" customWidth="1"/>
    <col min="26" max="28" width="11.42578125" style="3" hidden="1" customWidth="1"/>
    <col min="29" max="32" width="27.42578125" style="3" hidden="1" customWidth="1"/>
    <col min="33" max="34" width="27.42578125" style="3" customWidth="1"/>
    <col min="35" max="16384" width="11.42578125" style="3"/>
  </cols>
  <sheetData>
    <row r="6" spans="1:18" ht="30.75" customHeight="1" x14ac:dyDescent="0.3"/>
    <row r="7" spans="1:18" s="27" customFormat="1" ht="24.95" customHeight="1" x14ac:dyDescent="0.35">
      <c r="A7" s="23" t="s">
        <v>4</v>
      </c>
      <c r="B7" s="6"/>
      <c r="C7" s="24"/>
      <c r="D7" s="24"/>
      <c r="E7" s="25"/>
      <c r="F7" s="26"/>
      <c r="G7" s="26"/>
      <c r="H7" s="4"/>
      <c r="I7" s="42"/>
      <c r="J7" s="7"/>
      <c r="K7" s="112"/>
      <c r="L7" s="112"/>
      <c r="M7" s="112"/>
    </row>
    <row r="8" spans="1:18" s="27" customFormat="1" ht="24.95" customHeight="1" x14ac:dyDescent="0.35">
      <c r="A8" s="23" t="s">
        <v>5</v>
      </c>
      <c r="B8" s="6"/>
      <c r="C8" s="24"/>
      <c r="D8" s="24"/>
      <c r="E8" s="28"/>
      <c r="F8" s="26"/>
      <c r="G8" s="26"/>
      <c r="H8" s="4"/>
      <c r="I8" s="5"/>
      <c r="J8" s="7"/>
      <c r="K8" s="112"/>
      <c r="L8" s="112"/>
      <c r="M8" s="112"/>
    </row>
    <row r="9" spans="1:18" s="27" customFormat="1" ht="23.25" x14ac:dyDescent="0.35">
      <c r="A9" s="6"/>
      <c r="B9" s="6"/>
      <c r="C9" s="24"/>
      <c r="D9" s="24"/>
      <c r="E9" s="28"/>
      <c r="F9" s="26"/>
      <c r="G9" s="26"/>
      <c r="H9" s="4"/>
      <c r="I9" s="5"/>
      <c r="J9" s="7"/>
      <c r="K9" s="112"/>
      <c r="L9" s="112"/>
      <c r="M9" s="112"/>
    </row>
    <row r="10" spans="1:18" s="27" customFormat="1" ht="30" customHeight="1" x14ac:dyDescent="0.35">
      <c r="A10" s="587" t="s">
        <v>131</v>
      </c>
      <c r="B10" s="587"/>
      <c r="C10" s="587"/>
      <c r="D10" s="587"/>
      <c r="E10" s="587"/>
      <c r="F10" s="587"/>
      <c r="G10" s="587"/>
      <c r="H10" s="587"/>
      <c r="I10" s="587"/>
      <c r="J10" s="587"/>
      <c r="K10" s="112"/>
      <c r="L10" s="112"/>
      <c r="M10" s="112"/>
    </row>
    <row r="11" spans="1:18" s="27" customFormat="1" ht="30" customHeight="1" x14ac:dyDescent="0.35">
      <c r="A11" s="587" t="s">
        <v>10</v>
      </c>
      <c r="B11" s="587"/>
      <c r="C11" s="587"/>
      <c r="D11" s="587"/>
      <c r="E11" s="587"/>
      <c r="F11" s="587"/>
      <c r="G11" s="587"/>
      <c r="H11" s="587"/>
      <c r="I11" s="587"/>
      <c r="J11" s="587"/>
      <c r="K11" s="112"/>
      <c r="L11" s="112"/>
      <c r="M11" s="112"/>
    </row>
    <row r="12" spans="1:18" s="27" customFormat="1" ht="30" customHeight="1" x14ac:dyDescent="0.3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112"/>
      <c r="L12" s="112"/>
      <c r="M12" s="112"/>
    </row>
    <row r="13" spans="1:18" s="27" customFormat="1" ht="23.25" x14ac:dyDescent="0.35">
      <c r="A13" s="6"/>
      <c r="B13" s="6"/>
      <c r="C13" s="29"/>
      <c r="D13" s="29"/>
      <c r="E13" s="26"/>
      <c r="F13" s="26"/>
      <c r="G13" s="26"/>
      <c r="H13" s="30"/>
      <c r="I13" s="31"/>
      <c r="J13" s="26"/>
      <c r="K13" s="112"/>
      <c r="L13" s="112"/>
      <c r="M13" s="112"/>
    </row>
    <row r="14" spans="1:18" s="27" customFormat="1" ht="41.25" customHeight="1" x14ac:dyDescent="0.35">
      <c r="A14" s="8" t="s">
        <v>3</v>
      </c>
      <c r="B14" s="39"/>
      <c r="C14" s="32"/>
      <c r="D14" s="32"/>
      <c r="E14" s="24"/>
      <c r="F14" s="34"/>
      <c r="G14" s="34"/>
      <c r="H14" s="35"/>
      <c r="I14" s="36"/>
      <c r="J14" s="33"/>
      <c r="K14" s="112"/>
      <c r="L14" s="112"/>
      <c r="M14" s="112"/>
    </row>
    <row r="15" spans="1:18" s="27" customFormat="1" ht="26.25" customHeight="1" thickBot="1" x14ac:dyDescent="0.4">
      <c r="A15" s="8"/>
      <c r="B15" s="39"/>
      <c r="C15" s="32"/>
      <c r="D15" s="32"/>
      <c r="E15" s="24"/>
      <c r="F15" s="34"/>
      <c r="G15" s="34"/>
      <c r="H15" s="35"/>
      <c r="I15" s="36"/>
      <c r="J15" s="33"/>
      <c r="K15" s="112"/>
      <c r="L15" s="112"/>
      <c r="M15" s="112"/>
    </row>
    <row r="16" spans="1:18" ht="28.5" customHeight="1" thickBot="1" x14ac:dyDescent="0.35">
      <c r="F16" s="14"/>
      <c r="G16" s="14"/>
      <c r="K16" s="131"/>
      <c r="L16" s="131"/>
      <c r="M16" s="131"/>
      <c r="N16" s="132" t="s">
        <v>85</v>
      </c>
      <c r="O16" s="132" t="s">
        <v>84</v>
      </c>
      <c r="P16" s="132" t="s">
        <v>78</v>
      </c>
      <c r="Q16" s="132" t="s">
        <v>79</v>
      </c>
      <c r="R16" s="132" t="s">
        <v>44</v>
      </c>
    </row>
    <row r="17" spans="1:28" s="9" customFormat="1" ht="102.75" customHeight="1" thickTop="1" thickBot="1" x14ac:dyDescent="0.35">
      <c r="A17" s="43" t="s">
        <v>6</v>
      </c>
      <c r="B17" s="16" t="s">
        <v>0</v>
      </c>
      <c r="C17" s="16" t="s">
        <v>11</v>
      </c>
      <c r="D17" s="16" t="s">
        <v>45</v>
      </c>
      <c r="E17" s="16" t="s">
        <v>1</v>
      </c>
      <c r="F17" s="16" t="s">
        <v>16</v>
      </c>
      <c r="G17" s="16" t="s">
        <v>17</v>
      </c>
      <c r="H17" s="37" t="s">
        <v>15</v>
      </c>
      <c r="I17" s="37" t="s">
        <v>133</v>
      </c>
      <c r="J17" s="38" t="s">
        <v>12</v>
      </c>
      <c r="K17" s="112"/>
      <c r="L17" s="112"/>
      <c r="M17" s="112"/>
      <c r="N17" s="133" t="s">
        <v>87</v>
      </c>
      <c r="O17" s="133" t="s">
        <v>86</v>
      </c>
    </row>
    <row r="18" spans="1:28" s="114" customFormat="1" ht="55.5" customHeight="1" thickTop="1" x14ac:dyDescent="0.35">
      <c r="A18" s="61">
        <v>1</v>
      </c>
      <c r="B18" s="62" t="s">
        <v>39</v>
      </c>
      <c r="C18" s="22">
        <v>35767</v>
      </c>
      <c r="D18" s="22" t="s">
        <v>54</v>
      </c>
      <c r="E18" s="73" t="s">
        <v>29</v>
      </c>
      <c r="F18" s="74" t="s">
        <v>18</v>
      </c>
      <c r="G18" s="74" t="s">
        <v>19</v>
      </c>
      <c r="H18" s="18">
        <v>373714.28</v>
      </c>
      <c r="I18" s="18">
        <v>336342.85</v>
      </c>
      <c r="J18" s="60">
        <f>ROUNDUP((H18-I18),2)</f>
        <v>37371.440000000002</v>
      </c>
      <c r="K18" s="112"/>
      <c r="N18" s="139"/>
    </row>
    <row r="19" spans="1:28" s="115" customFormat="1" ht="38.1" customHeight="1" x14ac:dyDescent="0.3">
      <c r="A19" s="106">
        <v>1</v>
      </c>
      <c r="B19" s="44" t="s">
        <v>38</v>
      </c>
      <c r="C19" s="103">
        <v>37974</v>
      </c>
      <c r="D19" s="103" t="s">
        <v>55</v>
      </c>
      <c r="E19" s="53" t="s">
        <v>2</v>
      </c>
      <c r="F19" s="47" t="s">
        <v>21</v>
      </c>
      <c r="G19" s="47" t="s">
        <v>22</v>
      </c>
      <c r="H19" s="102">
        <v>342907.75</v>
      </c>
      <c r="I19" s="102">
        <v>308616.98</v>
      </c>
      <c r="J19" s="105">
        <f t="shared" ref="J19:J25" si="0">ROUNDUP((H19-I19),2)</f>
        <v>34290.769999999997</v>
      </c>
      <c r="K19" s="112"/>
    </row>
    <row r="20" spans="1:28" s="115" customFormat="1" ht="38.1" customHeight="1" x14ac:dyDescent="0.3">
      <c r="A20" s="106">
        <v>1</v>
      </c>
      <c r="B20" s="44" t="s">
        <v>38</v>
      </c>
      <c r="C20" s="103">
        <v>37974</v>
      </c>
      <c r="D20" s="103" t="s">
        <v>56</v>
      </c>
      <c r="E20" s="53" t="s">
        <v>2</v>
      </c>
      <c r="F20" s="47" t="s">
        <v>21</v>
      </c>
      <c r="G20" s="47" t="s">
        <v>22</v>
      </c>
      <c r="H20" s="102">
        <v>342907.75</v>
      </c>
      <c r="I20" s="102">
        <v>308616.98</v>
      </c>
      <c r="J20" s="105">
        <f t="shared" si="0"/>
        <v>34290.769999999997</v>
      </c>
      <c r="K20" s="112"/>
      <c r="Z20" s="178" t="s">
        <v>126</v>
      </c>
    </row>
    <row r="21" spans="1:28" s="115" customFormat="1" ht="38.1" customHeight="1" x14ac:dyDescent="0.3">
      <c r="A21" s="106">
        <v>1</v>
      </c>
      <c r="B21" s="44" t="s">
        <v>36</v>
      </c>
      <c r="C21" s="103">
        <v>39898</v>
      </c>
      <c r="D21" s="103" t="s">
        <v>57</v>
      </c>
      <c r="E21" s="53" t="s">
        <v>33</v>
      </c>
      <c r="F21" s="54" t="s">
        <v>20</v>
      </c>
      <c r="G21" s="55" t="s">
        <v>27</v>
      </c>
      <c r="H21" s="102">
        <v>525377</v>
      </c>
      <c r="I21" s="102">
        <v>472839.3</v>
      </c>
      <c r="J21" s="105">
        <f t="shared" si="0"/>
        <v>52537.7</v>
      </c>
      <c r="K21" s="112"/>
    </row>
    <row r="22" spans="1:28" s="115" customFormat="1" ht="38.1" customHeight="1" x14ac:dyDescent="0.3">
      <c r="A22" s="106">
        <v>1</v>
      </c>
      <c r="B22" s="44" t="s">
        <v>36</v>
      </c>
      <c r="C22" s="103">
        <v>39898</v>
      </c>
      <c r="D22" s="103" t="s">
        <v>57</v>
      </c>
      <c r="E22" s="53" t="s">
        <v>33</v>
      </c>
      <c r="F22" s="54" t="s">
        <v>20</v>
      </c>
      <c r="G22" s="55" t="s">
        <v>27</v>
      </c>
      <c r="H22" s="102">
        <v>525377</v>
      </c>
      <c r="I22" s="102">
        <v>472839.3</v>
      </c>
      <c r="J22" s="105">
        <f t="shared" si="0"/>
        <v>52537.7</v>
      </c>
      <c r="K22" s="112"/>
    </row>
    <row r="23" spans="1:28" s="115" customFormat="1" ht="36" hidden="1" customHeight="1" x14ac:dyDescent="0.3">
      <c r="A23" s="64">
        <v>1</v>
      </c>
      <c r="B23" s="45" t="s">
        <v>40</v>
      </c>
      <c r="C23" s="103">
        <v>40543</v>
      </c>
      <c r="D23" s="103"/>
      <c r="E23" s="53" t="s">
        <v>32</v>
      </c>
      <c r="F23" s="56" t="s">
        <v>28</v>
      </c>
      <c r="G23" s="56" t="s">
        <v>23</v>
      </c>
      <c r="H23" s="17">
        <v>64059.07</v>
      </c>
      <c r="I23" s="102">
        <v>43239.87</v>
      </c>
      <c r="J23" s="105">
        <f t="shared" si="0"/>
        <v>20819.2</v>
      </c>
      <c r="K23" s="112"/>
    </row>
    <row r="24" spans="1:28" s="115" customFormat="1" ht="36" hidden="1" customHeight="1" x14ac:dyDescent="0.3">
      <c r="A24" s="64">
        <v>1</v>
      </c>
      <c r="B24" s="45" t="s">
        <v>40</v>
      </c>
      <c r="C24" s="103">
        <v>40543</v>
      </c>
      <c r="D24" s="103"/>
      <c r="E24" s="53" t="s">
        <v>32</v>
      </c>
      <c r="F24" s="56" t="s">
        <v>28</v>
      </c>
      <c r="G24" s="56" t="s">
        <v>23</v>
      </c>
      <c r="H24" s="17">
        <v>64059.07</v>
      </c>
      <c r="I24" s="102">
        <v>43239.87</v>
      </c>
      <c r="J24" s="105">
        <f t="shared" si="0"/>
        <v>20819.2</v>
      </c>
      <c r="K24" s="112"/>
    </row>
    <row r="25" spans="1:28" s="577" customFormat="1" ht="42" customHeight="1" x14ac:dyDescent="0.2">
      <c r="A25" s="580">
        <v>1</v>
      </c>
      <c r="B25" s="581" t="s">
        <v>129</v>
      </c>
      <c r="C25" s="578">
        <v>42748</v>
      </c>
      <c r="D25" s="582" t="s">
        <v>90</v>
      </c>
      <c r="E25" s="582" t="s">
        <v>93</v>
      </c>
      <c r="F25" s="581" t="s">
        <v>88</v>
      </c>
      <c r="G25" s="581" t="s">
        <v>89</v>
      </c>
      <c r="H25" s="583">
        <v>23573.759999999998</v>
      </c>
      <c r="I25" s="583">
        <f>'Depreciación ORIGINAL '!V7</f>
        <v>1517.1167736986299</v>
      </c>
      <c r="J25" s="584">
        <f t="shared" si="0"/>
        <v>22056.649999999998</v>
      </c>
      <c r="K25" s="112">
        <f>H25*10%</f>
        <v>2357.3759999999997</v>
      </c>
      <c r="L25" s="112">
        <f>H25-K25</f>
        <v>21216.383999999998</v>
      </c>
      <c r="M25" s="112">
        <f>L25*10%</f>
        <v>2121.6383999999998</v>
      </c>
      <c r="N25" s="116">
        <f>M25/365</f>
        <v>5.8127079452054788</v>
      </c>
      <c r="O25" s="124">
        <f>19+28+31+30+31+30</f>
        <v>169</v>
      </c>
      <c r="P25" s="116">
        <f>N25*O25</f>
        <v>982.34764273972587</v>
      </c>
      <c r="Q25" s="117">
        <v>23120.37</v>
      </c>
      <c r="R25" s="118">
        <f>Q25-P25</f>
        <v>22138.022357260274</v>
      </c>
      <c r="T25" s="578"/>
      <c r="Y25" s="579"/>
    </row>
    <row r="26" spans="1:28" s="112" customFormat="1" ht="57" customHeight="1" x14ac:dyDescent="0.3">
      <c r="A26" s="585">
        <v>1</v>
      </c>
      <c r="B26" s="47" t="s">
        <v>124</v>
      </c>
      <c r="C26" s="103">
        <v>42905</v>
      </c>
      <c r="D26" s="69" t="s">
        <v>94</v>
      </c>
      <c r="E26" s="586" t="s">
        <v>121</v>
      </c>
      <c r="F26" s="102" t="s">
        <v>24</v>
      </c>
      <c r="G26" s="102" t="s">
        <v>95</v>
      </c>
      <c r="H26" s="102">
        <v>21893</v>
      </c>
      <c r="I26" s="583">
        <f>'Depreciación ORIGINAL '!V8</f>
        <v>1122.8409863013699</v>
      </c>
      <c r="J26" s="105">
        <f>H26-I26</f>
        <v>20770.159013698631</v>
      </c>
      <c r="K26" s="112">
        <f>H26*10%</f>
        <v>2189.3000000000002</v>
      </c>
      <c r="L26" s="112">
        <f>H26-K26</f>
        <v>19703.7</v>
      </c>
      <c r="M26" s="112">
        <f>L26*20%</f>
        <v>3940.7400000000002</v>
      </c>
      <c r="N26" s="116">
        <f>M26/366</f>
        <v>10.76704918032787</v>
      </c>
      <c r="O26" s="124">
        <f>11</f>
        <v>11</v>
      </c>
      <c r="P26" s="116">
        <f>N26*O26</f>
        <v>118.43754098360657</v>
      </c>
      <c r="Q26" s="117">
        <v>20965.330000000002</v>
      </c>
      <c r="R26" s="118">
        <f>Q26-P26</f>
        <v>20846.892459016395</v>
      </c>
      <c r="T26" s="176"/>
      <c r="Y26" s="177"/>
      <c r="Z26" s="601" t="s">
        <v>122</v>
      </c>
      <c r="AA26" s="601"/>
      <c r="AB26" s="601"/>
    </row>
    <row r="27" spans="1:28" s="112" customFormat="1" ht="58.5" customHeight="1" x14ac:dyDescent="0.3">
      <c r="A27" s="585">
        <v>1</v>
      </c>
      <c r="B27" s="47" t="s">
        <v>124</v>
      </c>
      <c r="C27" s="103">
        <v>42905</v>
      </c>
      <c r="D27" s="69" t="s">
        <v>125</v>
      </c>
      <c r="E27" s="586" t="s">
        <v>121</v>
      </c>
      <c r="F27" s="102" t="s">
        <v>24</v>
      </c>
      <c r="G27" s="102" t="s">
        <v>95</v>
      </c>
      <c r="H27" s="102">
        <v>21893</v>
      </c>
      <c r="I27" s="583">
        <f>'Depreciación ORIGINAL '!V9</f>
        <v>1122.8409863013699</v>
      </c>
      <c r="J27" s="105">
        <f>H27-I27</f>
        <v>20770.159013698631</v>
      </c>
      <c r="K27" s="112">
        <f>H27*10%</f>
        <v>2189.3000000000002</v>
      </c>
      <c r="L27" s="112">
        <f>H27-K27</f>
        <v>19703.7</v>
      </c>
      <c r="M27" s="112">
        <f>L27*20%</f>
        <v>3940.7400000000002</v>
      </c>
      <c r="N27" s="116">
        <f>M27/365</f>
        <v>10.79654794520548</v>
      </c>
      <c r="O27" s="124">
        <f>11</f>
        <v>11</v>
      </c>
      <c r="P27" s="116">
        <f>N27*O27</f>
        <v>118.76202739726028</v>
      </c>
      <c r="Q27" s="117">
        <v>20965.330000000002</v>
      </c>
      <c r="R27" s="118">
        <f>Q27-P27</f>
        <v>20846.567972602741</v>
      </c>
      <c r="T27" s="176"/>
      <c r="Y27" s="177"/>
    </row>
    <row r="28" spans="1:28" s="112" customFormat="1" ht="23.25" x14ac:dyDescent="0.3">
      <c r="A28" s="122"/>
      <c r="B28" s="48"/>
      <c r="C28" s="20"/>
      <c r="D28" s="334"/>
      <c r="E28" s="335"/>
      <c r="I28" s="336"/>
      <c r="N28" s="116"/>
      <c r="O28" s="124"/>
      <c r="P28" s="116"/>
      <c r="Q28" s="117"/>
      <c r="R28" s="118"/>
      <c r="T28" s="176"/>
      <c r="Y28" s="177"/>
    </row>
    <row r="29" spans="1:28" s="112" customFormat="1" ht="23.25" x14ac:dyDescent="0.3">
      <c r="A29" s="122"/>
      <c r="B29" s="48"/>
      <c r="C29" s="20"/>
      <c r="D29" s="334"/>
      <c r="E29" s="335"/>
      <c r="I29" s="336"/>
      <c r="N29" s="116"/>
      <c r="O29" s="124"/>
      <c r="P29" s="116"/>
      <c r="Q29" s="117"/>
      <c r="R29" s="118"/>
      <c r="T29" s="176"/>
      <c r="Y29" s="177"/>
    </row>
    <row r="30" spans="1:28" s="112" customFormat="1" ht="23.25" x14ac:dyDescent="0.3">
      <c r="A30" s="122"/>
      <c r="B30" s="48"/>
      <c r="C30" s="20"/>
      <c r="D30" s="334"/>
      <c r="E30" s="335"/>
      <c r="I30" s="336"/>
      <c r="N30" s="116"/>
      <c r="O30" s="124"/>
      <c r="P30" s="116"/>
      <c r="Q30" s="117"/>
      <c r="R30" s="118"/>
      <c r="T30" s="176"/>
      <c r="Y30" s="177"/>
    </row>
    <row r="31" spans="1:28" s="112" customFormat="1" ht="23.25" x14ac:dyDescent="0.3">
      <c r="A31" s="122"/>
      <c r="B31" s="48"/>
      <c r="C31" s="20"/>
      <c r="D31" s="334"/>
      <c r="E31" s="335"/>
      <c r="I31" s="336"/>
      <c r="N31" s="116"/>
      <c r="O31" s="124"/>
      <c r="P31" s="116"/>
      <c r="Q31" s="117"/>
      <c r="R31" s="118"/>
      <c r="T31" s="176"/>
      <c r="Y31" s="177"/>
    </row>
    <row r="32" spans="1:28" s="112" customFormat="1" ht="23.25" x14ac:dyDescent="0.3">
      <c r="A32" s="122"/>
      <c r="B32" s="48"/>
      <c r="C32" s="20"/>
      <c r="D32" s="334"/>
      <c r="E32" s="335"/>
      <c r="I32" s="336"/>
      <c r="N32" s="116"/>
      <c r="O32" s="124"/>
      <c r="P32" s="116"/>
      <c r="Q32" s="117"/>
      <c r="R32" s="118"/>
      <c r="T32" s="176"/>
      <c r="Y32" s="177"/>
    </row>
    <row r="33" spans="1:31" ht="30" customHeight="1" x14ac:dyDescent="0.35">
      <c r="A33" s="83" t="s">
        <v>66</v>
      </c>
      <c r="B33" s="84"/>
      <c r="C33" s="85"/>
      <c r="D33" s="85"/>
      <c r="E33" s="4"/>
      <c r="F33" s="86"/>
      <c r="G33" s="86"/>
      <c r="H33" s="35"/>
      <c r="I33" s="36"/>
      <c r="J33" s="35"/>
      <c r="K33" s="76"/>
      <c r="L33" s="3"/>
      <c r="M33" s="3"/>
      <c r="O33" s="126"/>
    </row>
    <row r="34" spans="1:31" ht="30" customHeight="1" x14ac:dyDescent="0.35">
      <c r="A34" s="83"/>
      <c r="B34" s="84"/>
      <c r="C34" s="85"/>
      <c r="D34" s="85"/>
      <c r="E34" s="4"/>
      <c r="F34" s="86"/>
      <c r="G34" s="86"/>
      <c r="H34" s="35"/>
      <c r="I34" s="36"/>
      <c r="J34" s="35"/>
      <c r="K34" s="76"/>
      <c r="L34" s="3"/>
      <c r="M34" s="3"/>
      <c r="O34" s="126"/>
      <c r="AB34" s="602"/>
      <c r="AC34" s="602"/>
    </row>
    <row r="35" spans="1:31" ht="22.5" thickBot="1" x14ac:dyDescent="0.35">
      <c r="A35" s="75"/>
      <c r="B35" s="75"/>
      <c r="C35" s="12"/>
      <c r="D35" s="12"/>
      <c r="E35" s="12"/>
      <c r="F35" s="87"/>
      <c r="G35" s="87"/>
      <c r="J35" s="13"/>
      <c r="K35" s="76"/>
      <c r="L35" s="3"/>
      <c r="M35" s="3"/>
      <c r="O35" s="126"/>
    </row>
    <row r="36" spans="1:31" ht="88.5" thickTop="1" thickBot="1" x14ac:dyDescent="0.35">
      <c r="A36" s="88" t="s">
        <v>6</v>
      </c>
      <c r="B36" s="37" t="s">
        <v>0</v>
      </c>
      <c r="C36" s="37" t="s">
        <v>11</v>
      </c>
      <c r="D36" s="37" t="s">
        <v>45</v>
      </c>
      <c r="E36" s="37" t="s">
        <v>1</v>
      </c>
      <c r="F36" s="37" t="s">
        <v>16</v>
      </c>
      <c r="G36" s="37" t="s">
        <v>17</v>
      </c>
      <c r="H36" s="37" t="s">
        <v>15</v>
      </c>
      <c r="I36" s="37" t="s">
        <v>132</v>
      </c>
      <c r="J36" s="89" t="s">
        <v>12</v>
      </c>
      <c r="O36" s="126"/>
      <c r="AB36" s="602"/>
      <c r="AC36" s="602"/>
    </row>
    <row r="37" spans="1:31" s="119" customFormat="1" ht="51" customHeight="1" thickTop="1" x14ac:dyDescent="0.2">
      <c r="A37" s="67">
        <v>1</v>
      </c>
      <c r="B37" s="47" t="s">
        <v>37</v>
      </c>
      <c r="C37" s="103">
        <v>41334</v>
      </c>
      <c r="D37" s="103" t="s">
        <v>58</v>
      </c>
      <c r="E37" s="53" t="s">
        <v>34</v>
      </c>
      <c r="F37" s="102" t="s">
        <v>26</v>
      </c>
      <c r="G37" s="102" t="s">
        <v>30</v>
      </c>
      <c r="H37" s="17">
        <v>144307.78</v>
      </c>
      <c r="I37" s="17">
        <f>[1]JULIO!$I$68+P37</f>
        <v>119190.32339999999</v>
      </c>
      <c r="J37" s="105">
        <f t="shared" ref="J37:J44" si="1">H37-I37</f>
        <v>25117.456600000005</v>
      </c>
      <c r="K37" s="135">
        <f t="shared" ref="K37:K44" si="2">H37*10%</f>
        <v>14430.778</v>
      </c>
      <c r="L37" s="135">
        <f t="shared" ref="L37:L44" si="3">H37-K37</f>
        <v>129877.00199999999</v>
      </c>
      <c r="M37" s="135">
        <f t="shared" ref="M37:M44" si="4">L37*20%</f>
        <v>25975.400399999999</v>
      </c>
      <c r="N37" s="136">
        <f t="shared" ref="N37:N44" si="5">M37/12</f>
        <v>2164.6167</v>
      </c>
      <c r="O37" s="137">
        <v>2</v>
      </c>
      <c r="P37" s="136">
        <f t="shared" ref="P37:P44" si="6">N37*O37</f>
        <v>4329.2334000000001</v>
      </c>
      <c r="Q37" s="138">
        <v>40406.11</v>
      </c>
      <c r="R37" s="134">
        <f t="shared" ref="R37:R44" si="7">Q37-P37</f>
        <v>36076.876600000003</v>
      </c>
      <c r="T37" s="172">
        <v>40406.11</v>
      </c>
      <c r="U37" s="119">
        <f>25975.4*4</f>
        <v>103901.6</v>
      </c>
      <c r="V37" s="118">
        <f>P37+U37</f>
        <v>108230.8334</v>
      </c>
      <c r="AC37" s="180"/>
      <c r="AD37" s="181"/>
      <c r="AE37" s="181"/>
    </row>
    <row r="38" spans="1:31" s="119" customFormat="1" ht="34.5" customHeight="1" x14ac:dyDescent="0.2">
      <c r="A38" s="67">
        <v>1</v>
      </c>
      <c r="B38" s="47" t="s">
        <v>37</v>
      </c>
      <c r="C38" s="103">
        <v>41334</v>
      </c>
      <c r="D38" s="103" t="s">
        <v>58</v>
      </c>
      <c r="E38" s="53" t="s">
        <v>34</v>
      </c>
      <c r="F38" s="102" t="s">
        <v>26</v>
      </c>
      <c r="G38" s="102" t="s">
        <v>30</v>
      </c>
      <c r="H38" s="17">
        <v>144307.78</v>
      </c>
      <c r="I38" s="17">
        <f>[1]JULIO!$I$68+P38</f>
        <v>119190.32339999999</v>
      </c>
      <c r="J38" s="105">
        <f t="shared" si="1"/>
        <v>25117.456600000005</v>
      </c>
      <c r="K38" s="135">
        <f t="shared" si="2"/>
        <v>14430.778</v>
      </c>
      <c r="L38" s="135">
        <f t="shared" si="3"/>
        <v>129877.00199999999</v>
      </c>
      <c r="M38" s="135">
        <f t="shared" si="4"/>
        <v>25975.400399999999</v>
      </c>
      <c r="N38" s="136">
        <f t="shared" si="5"/>
        <v>2164.6167</v>
      </c>
      <c r="O38" s="137">
        <v>2</v>
      </c>
      <c r="P38" s="136">
        <f t="shared" si="6"/>
        <v>4329.2334000000001</v>
      </c>
      <c r="Q38" s="138">
        <v>40406.11</v>
      </c>
      <c r="R38" s="134">
        <f t="shared" si="7"/>
        <v>36076.876600000003</v>
      </c>
      <c r="T38" s="172">
        <v>40406.11</v>
      </c>
      <c r="U38" s="119">
        <f>25975.4*4</f>
        <v>103901.6</v>
      </c>
      <c r="V38" s="118">
        <f>P38+U38</f>
        <v>108230.8334</v>
      </c>
      <c r="AC38" s="180"/>
      <c r="AD38" s="181"/>
      <c r="AE38" s="181"/>
    </row>
    <row r="39" spans="1:31" s="119" customFormat="1" ht="51" customHeight="1" x14ac:dyDescent="0.2">
      <c r="A39" s="64">
        <v>1</v>
      </c>
      <c r="B39" s="47" t="s">
        <v>35</v>
      </c>
      <c r="C39" s="103">
        <v>41611</v>
      </c>
      <c r="D39" s="103" t="s">
        <v>59</v>
      </c>
      <c r="E39" s="21" t="s">
        <v>31</v>
      </c>
      <c r="F39" s="46" t="s">
        <v>24</v>
      </c>
      <c r="G39" s="47" t="s">
        <v>25</v>
      </c>
      <c r="H39" s="17">
        <v>175817</v>
      </c>
      <c r="I39" s="17">
        <f>[1]JULIO!$I$70+P39</f>
        <v>121198.12</v>
      </c>
      <c r="J39" s="105">
        <f t="shared" si="1"/>
        <v>54618.880000000005</v>
      </c>
      <c r="K39" s="135">
        <f t="shared" si="2"/>
        <v>17581.7</v>
      </c>
      <c r="L39" s="135">
        <f t="shared" si="3"/>
        <v>158235.29999999999</v>
      </c>
      <c r="M39" s="135">
        <f t="shared" si="4"/>
        <v>31647.059999999998</v>
      </c>
      <c r="N39" s="136">
        <f t="shared" si="5"/>
        <v>2637.2549999999997</v>
      </c>
      <c r="O39" s="137">
        <v>2</v>
      </c>
      <c r="P39" s="136">
        <f t="shared" si="6"/>
        <v>5274.5099999999993</v>
      </c>
      <c r="Q39" s="138">
        <v>70326.77</v>
      </c>
      <c r="R39" s="134">
        <f t="shared" si="7"/>
        <v>65052.26</v>
      </c>
      <c r="T39" s="172">
        <v>70326.77</v>
      </c>
      <c r="U39" s="118">
        <f>M39*3</f>
        <v>94941.18</v>
      </c>
      <c r="V39" s="118">
        <f>6*N39</f>
        <v>15823.529999999999</v>
      </c>
      <c r="W39" s="118">
        <f>SUM(U39:V39)</f>
        <v>110764.70999999999</v>
      </c>
      <c r="AC39" s="180"/>
      <c r="AD39" s="181"/>
      <c r="AE39" s="181"/>
    </row>
    <row r="40" spans="1:31" s="119" customFormat="1" ht="51" customHeight="1" x14ac:dyDescent="0.2">
      <c r="A40" s="64">
        <v>1</v>
      </c>
      <c r="B40" s="47" t="s">
        <v>35</v>
      </c>
      <c r="C40" s="103">
        <v>41611</v>
      </c>
      <c r="D40" s="103" t="s">
        <v>59</v>
      </c>
      <c r="E40" s="21" t="s">
        <v>31</v>
      </c>
      <c r="F40" s="46" t="s">
        <v>24</v>
      </c>
      <c r="G40" s="47" t="s">
        <v>25</v>
      </c>
      <c r="H40" s="17">
        <v>175817</v>
      </c>
      <c r="I40" s="17">
        <f>[1]JULIO!$I$70+P40</f>
        <v>121198.12</v>
      </c>
      <c r="J40" s="105">
        <f t="shared" si="1"/>
        <v>54618.880000000005</v>
      </c>
      <c r="K40" s="135">
        <f t="shared" si="2"/>
        <v>17581.7</v>
      </c>
      <c r="L40" s="135">
        <f t="shared" si="3"/>
        <v>158235.29999999999</v>
      </c>
      <c r="M40" s="135">
        <f t="shared" si="4"/>
        <v>31647.059999999998</v>
      </c>
      <c r="N40" s="136">
        <f t="shared" si="5"/>
        <v>2637.2549999999997</v>
      </c>
      <c r="O40" s="137">
        <v>2</v>
      </c>
      <c r="P40" s="136">
        <f t="shared" si="6"/>
        <v>5274.5099999999993</v>
      </c>
      <c r="Q40" s="138">
        <v>70326.77</v>
      </c>
      <c r="R40" s="134">
        <f t="shared" si="7"/>
        <v>65052.26</v>
      </c>
      <c r="T40" s="172">
        <v>70326.77</v>
      </c>
      <c r="Z40" s="601" t="s">
        <v>123</v>
      </c>
      <c r="AA40" s="601"/>
      <c r="AB40" s="601"/>
      <c r="AC40" s="180"/>
      <c r="AD40" s="181"/>
      <c r="AE40" s="181"/>
    </row>
    <row r="41" spans="1:31" s="119" customFormat="1" ht="55.5" customHeight="1" x14ac:dyDescent="0.2">
      <c r="A41" s="64">
        <v>1</v>
      </c>
      <c r="B41" s="103" t="s">
        <v>35</v>
      </c>
      <c r="C41" s="103">
        <v>41611</v>
      </c>
      <c r="D41" s="103" t="s">
        <v>59</v>
      </c>
      <c r="E41" s="57" t="s">
        <v>14</v>
      </c>
      <c r="F41" s="46" t="s">
        <v>24</v>
      </c>
      <c r="G41" s="47" t="s">
        <v>25</v>
      </c>
      <c r="H41" s="17">
        <v>194901.5</v>
      </c>
      <c r="I41" s="17">
        <f>[1]JULIO!$I$72+N41</f>
        <v>131430.36249999999</v>
      </c>
      <c r="J41" s="105">
        <f t="shared" si="1"/>
        <v>63471.137500000012</v>
      </c>
      <c r="K41" s="135">
        <f t="shared" si="2"/>
        <v>19490.150000000001</v>
      </c>
      <c r="L41" s="135">
        <f t="shared" si="3"/>
        <v>175411.35</v>
      </c>
      <c r="M41" s="135">
        <f t="shared" si="4"/>
        <v>35082.270000000004</v>
      </c>
      <c r="N41" s="136">
        <f t="shared" si="5"/>
        <v>2923.5225000000005</v>
      </c>
      <c r="O41" s="137">
        <v>2</v>
      </c>
      <c r="P41" s="136">
        <f t="shared" si="6"/>
        <v>5847.045000000001</v>
      </c>
      <c r="Q41" s="138">
        <v>77960.62</v>
      </c>
      <c r="R41" s="134">
        <f t="shared" si="7"/>
        <v>72113.574999999997</v>
      </c>
      <c r="T41" s="172">
        <v>77960.62</v>
      </c>
      <c r="AC41" s="179"/>
    </row>
    <row r="42" spans="1:31" s="119" customFormat="1" ht="54" customHeight="1" x14ac:dyDescent="0.2">
      <c r="A42" s="64">
        <v>1</v>
      </c>
      <c r="B42" s="103" t="s">
        <v>35</v>
      </c>
      <c r="C42" s="103">
        <v>41611</v>
      </c>
      <c r="D42" s="103" t="s">
        <v>59</v>
      </c>
      <c r="E42" s="57" t="s">
        <v>14</v>
      </c>
      <c r="F42" s="46" t="s">
        <v>24</v>
      </c>
      <c r="G42" s="47" t="s">
        <v>25</v>
      </c>
      <c r="H42" s="17">
        <v>194901.5</v>
      </c>
      <c r="I42" s="17">
        <f>[1]JULIO!$I$73+N42</f>
        <v>131430.36249999999</v>
      </c>
      <c r="J42" s="105">
        <f t="shared" si="1"/>
        <v>63471.137500000012</v>
      </c>
      <c r="K42" s="135">
        <f t="shared" si="2"/>
        <v>19490.150000000001</v>
      </c>
      <c r="L42" s="135">
        <f t="shared" si="3"/>
        <v>175411.35</v>
      </c>
      <c r="M42" s="135">
        <f t="shared" si="4"/>
        <v>35082.270000000004</v>
      </c>
      <c r="N42" s="136">
        <f t="shared" si="5"/>
        <v>2923.5225000000005</v>
      </c>
      <c r="O42" s="137">
        <v>2</v>
      </c>
      <c r="P42" s="136">
        <f t="shared" si="6"/>
        <v>5847.045000000001</v>
      </c>
      <c r="Q42" s="138">
        <v>77960.62</v>
      </c>
      <c r="R42" s="134">
        <f t="shared" si="7"/>
        <v>72113.574999999997</v>
      </c>
      <c r="T42" s="172">
        <v>77960.62</v>
      </c>
    </row>
    <row r="43" spans="1:31" s="121" customFormat="1" ht="58.5" customHeight="1" x14ac:dyDescent="0.3">
      <c r="A43" s="64">
        <v>1</v>
      </c>
      <c r="B43" s="45" t="s">
        <v>42</v>
      </c>
      <c r="C43" s="103">
        <v>42143</v>
      </c>
      <c r="D43" s="103" t="s">
        <v>60</v>
      </c>
      <c r="E43" s="53" t="s">
        <v>13</v>
      </c>
      <c r="F43" s="56" t="s">
        <v>21</v>
      </c>
      <c r="G43" s="53" t="s">
        <v>43</v>
      </c>
      <c r="H43" s="17">
        <v>300236.52</v>
      </c>
      <c r="I43" s="17">
        <f>[1]JULIO!$I$74+P43</f>
        <v>128196.88559999999</v>
      </c>
      <c r="J43" s="105">
        <f t="shared" si="1"/>
        <v>172039.63440000004</v>
      </c>
      <c r="K43" s="135">
        <f t="shared" si="2"/>
        <v>30023.652000000002</v>
      </c>
      <c r="L43" s="135">
        <f t="shared" si="3"/>
        <v>270212.86800000002</v>
      </c>
      <c r="M43" s="135">
        <f t="shared" si="4"/>
        <v>54042.573600000003</v>
      </c>
      <c r="N43" s="136">
        <f t="shared" si="5"/>
        <v>4503.5478000000003</v>
      </c>
      <c r="O43" s="137">
        <v>2</v>
      </c>
      <c r="P43" s="136">
        <f t="shared" si="6"/>
        <v>9007.0956000000006</v>
      </c>
      <c r="Q43" s="138">
        <v>196654.92</v>
      </c>
      <c r="R43" s="134">
        <f t="shared" si="7"/>
        <v>187647.82440000001</v>
      </c>
      <c r="T43" s="173">
        <v>196654.92</v>
      </c>
      <c r="AA43" s="602"/>
      <c r="AB43" s="602"/>
    </row>
    <row r="44" spans="1:31" s="121" customFormat="1" ht="58.5" customHeight="1" x14ac:dyDescent="0.3">
      <c r="A44" s="64">
        <v>1</v>
      </c>
      <c r="B44" s="45" t="s">
        <v>42</v>
      </c>
      <c r="C44" s="103">
        <v>42143</v>
      </c>
      <c r="D44" s="103" t="s">
        <v>60</v>
      </c>
      <c r="E44" s="53" t="s">
        <v>13</v>
      </c>
      <c r="F44" s="56" t="s">
        <v>21</v>
      </c>
      <c r="G44" s="53" t="s">
        <v>43</v>
      </c>
      <c r="H44" s="17">
        <v>300236.52</v>
      </c>
      <c r="I44" s="17">
        <f>[1]JULIO!$I$75+P44</f>
        <v>128196.88559999999</v>
      </c>
      <c r="J44" s="105">
        <f t="shared" si="1"/>
        <v>172039.63440000004</v>
      </c>
      <c r="K44" s="135">
        <f t="shared" si="2"/>
        <v>30023.652000000002</v>
      </c>
      <c r="L44" s="135">
        <f t="shared" si="3"/>
        <v>270212.86800000002</v>
      </c>
      <c r="M44" s="135">
        <f t="shared" si="4"/>
        <v>54042.573600000003</v>
      </c>
      <c r="N44" s="136">
        <f t="shared" si="5"/>
        <v>4503.5478000000003</v>
      </c>
      <c r="O44" s="137">
        <v>2</v>
      </c>
      <c r="P44" s="136">
        <f t="shared" si="6"/>
        <v>9007.0956000000006</v>
      </c>
      <c r="Q44" s="138">
        <v>196654.92</v>
      </c>
      <c r="R44" s="134">
        <f t="shared" si="7"/>
        <v>187647.82440000001</v>
      </c>
      <c r="T44" s="173">
        <v>196654.92</v>
      </c>
    </row>
    <row r="45" spans="1:31" s="121" customFormat="1" ht="34.5" customHeight="1" x14ac:dyDescent="0.3">
      <c r="A45" s="106">
        <v>1</v>
      </c>
      <c r="B45" s="44" t="s">
        <v>65</v>
      </c>
      <c r="C45" s="103">
        <v>42461</v>
      </c>
      <c r="D45" s="103" t="s">
        <v>61</v>
      </c>
      <c r="E45" s="53" t="s">
        <v>2</v>
      </c>
      <c r="F45" s="56" t="s">
        <v>47</v>
      </c>
      <c r="G45" s="56" t="s">
        <v>46</v>
      </c>
      <c r="H45" s="102">
        <v>123606.55</v>
      </c>
      <c r="I45" s="102">
        <f>'Depreciación ORIGINAL '!V12</f>
        <v>33404.246827397263</v>
      </c>
      <c r="J45" s="105">
        <f t="shared" ref="J45:J52" si="8">H45-I45</f>
        <v>90202.30317260274</v>
      </c>
      <c r="K45" s="112">
        <f t="shared" ref="K45:K52" si="9">H45*10%</f>
        <v>12360.655000000001</v>
      </c>
      <c r="L45" s="112">
        <f t="shared" ref="L45:L52" si="10">H45-K45</f>
        <v>111245.895</v>
      </c>
      <c r="M45" s="112">
        <f t="shared" ref="M45:M52" si="11">L45*20%</f>
        <v>22249.179000000004</v>
      </c>
      <c r="N45" s="116">
        <f>M45/365</f>
        <v>60.95665479452056</v>
      </c>
      <c r="O45" s="124">
        <f>30+31+30+365</f>
        <v>456</v>
      </c>
      <c r="P45" s="116">
        <f t="shared" ref="P45:P52" si="12">N45*O45</f>
        <v>27796.234586301376</v>
      </c>
      <c r="Q45" s="117">
        <v>101357.45</v>
      </c>
      <c r="R45" s="118">
        <f t="shared" ref="R45:R52" si="13">Q45-P45</f>
        <v>73561.215413698621</v>
      </c>
      <c r="T45" s="173">
        <v>101357.45</v>
      </c>
      <c r="Y45" s="174"/>
    </row>
    <row r="46" spans="1:31" s="119" customFormat="1" ht="51.95" customHeight="1" x14ac:dyDescent="0.3">
      <c r="A46" s="99">
        <v>1</v>
      </c>
      <c r="B46" s="44" t="s">
        <v>63</v>
      </c>
      <c r="C46" s="103">
        <v>42536</v>
      </c>
      <c r="D46" s="103" t="s">
        <v>64</v>
      </c>
      <c r="E46" s="90" t="s">
        <v>50</v>
      </c>
      <c r="F46" s="56" t="s">
        <v>48</v>
      </c>
      <c r="G46" s="56" t="s">
        <v>49</v>
      </c>
      <c r="H46" s="102">
        <v>105787.5</v>
      </c>
      <c r="I46" s="102">
        <f>'Depreciación ORIGINAL '!V13</f>
        <v>24676.021232876712</v>
      </c>
      <c r="J46" s="105">
        <f t="shared" si="8"/>
        <v>81111.478767123292</v>
      </c>
      <c r="K46" s="112">
        <f t="shared" si="9"/>
        <v>10578.75</v>
      </c>
      <c r="L46" s="112">
        <f t="shared" si="10"/>
        <v>95208.75</v>
      </c>
      <c r="M46" s="112">
        <f t="shared" si="11"/>
        <v>19041.75</v>
      </c>
      <c r="N46" s="116">
        <v>52.167000000000002</v>
      </c>
      <c r="O46" s="124">
        <v>381</v>
      </c>
      <c r="P46" s="116">
        <f t="shared" si="12"/>
        <v>19875.627</v>
      </c>
      <c r="Q46" s="117">
        <v>90658.43</v>
      </c>
      <c r="R46" s="118">
        <f t="shared" si="13"/>
        <v>70782.802999999985</v>
      </c>
      <c r="T46" s="172">
        <v>90658.43</v>
      </c>
      <c r="Y46" s="174"/>
    </row>
    <row r="47" spans="1:31" s="119" customFormat="1" ht="51.95" customHeight="1" x14ac:dyDescent="0.3">
      <c r="A47" s="99">
        <v>1</v>
      </c>
      <c r="B47" s="44" t="s">
        <v>63</v>
      </c>
      <c r="C47" s="109">
        <v>42536</v>
      </c>
      <c r="D47" s="103" t="s">
        <v>64</v>
      </c>
      <c r="E47" s="90" t="s">
        <v>50</v>
      </c>
      <c r="F47" s="47" t="s">
        <v>48</v>
      </c>
      <c r="G47" s="47" t="s">
        <v>49</v>
      </c>
      <c r="H47" s="102">
        <v>105787.5</v>
      </c>
      <c r="I47" s="102">
        <f>'Depreciación ORIGINAL '!V14</f>
        <v>24676.021232876712</v>
      </c>
      <c r="J47" s="105">
        <f t="shared" si="8"/>
        <v>81111.478767123292</v>
      </c>
      <c r="K47" s="112">
        <f t="shared" si="9"/>
        <v>10578.75</v>
      </c>
      <c r="L47" s="112">
        <f t="shared" si="10"/>
        <v>95208.75</v>
      </c>
      <c r="M47" s="112">
        <f t="shared" si="11"/>
        <v>19041.75</v>
      </c>
      <c r="N47" s="116">
        <f t="shared" ref="N47:N52" si="14">M47/365</f>
        <v>52.169178082191777</v>
      </c>
      <c r="O47" s="124">
        <v>381</v>
      </c>
      <c r="P47" s="116">
        <f t="shared" si="12"/>
        <v>19876.456849315065</v>
      </c>
      <c r="Q47" s="117">
        <v>90658.43</v>
      </c>
      <c r="R47" s="118">
        <f t="shared" si="13"/>
        <v>70781.973150684935</v>
      </c>
      <c r="T47" s="172">
        <v>90658.43</v>
      </c>
      <c r="X47" s="118"/>
      <c r="Y47" s="174"/>
    </row>
    <row r="48" spans="1:31" s="121" customFormat="1" ht="48.95" customHeight="1" x14ac:dyDescent="0.3">
      <c r="A48" s="100">
        <v>1</v>
      </c>
      <c r="B48" s="65" t="s">
        <v>62</v>
      </c>
      <c r="C48" s="110">
        <v>42550</v>
      </c>
      <c r="D48" s="68">
        <v>4416</v>
      </c>
      <c r="E48" s="91" t="s">
        <v>50</v>
      </c>
      <c r="F48" s="92" t="s">
        <v>21</v>
      </c>
      <c r="G48" s="92" t="s">
        <v>53</v>
      </c>
      <c r="H48" s="71">
        <v>88575.25</v>
      </c>
      <c r="I48" s="102">
        <f>'Depreciación ORIGINAL '!V15</f>
        <v>20049.553849315071</v>
      </c>
      <c r="J48" s="105">
        <f t="shared" si="8"/>
        <v>68525.696150684933</v>
      </c>
      <c r="K48" s="112">
        <f t="shared" si="9"/>
        <v>8857.5249999999996</v>
      </c>
      <c r="L48" s="112">
        <f t="shared" si="10"/>
        <v>79717.725000000006</v>
      </c>
      <c r="M48" s="112">
        <f t="shared" si="11"/>
        <v>15943.545000000002</v>
      </c>
      <c r="N48" s="116">
        <f t="shared" si="14"/>
        <v>43.68094520547946</v>
      </c>
      <c r="O48" s="124">
        <v>367</v>
      </c>
      <c r="P48" s="116">
        <f t="shared" si="12"/>
        <v>16030.906890410963</v>
      </c>
      <c r="Q48" s="117">
        <v>76519.3</v>
      </c>
      <c r="R48" s="118">
        <f t="shared" si="13"/>
        <v>60488.393109589044</v>
      </c>
      <c r="T48" s="173">
        <v>76519.3</v>
      </c>
      <c r="X48" s="118"/>
      <c r="Y48" s="174"/>
    </row>
    <row r="49" spans="1:28" s="112" customFormat="1" ht="48.95" customHeight="1" x14ac:dyDescent="0.3">
      <c r="A49" s="99">
        <v>1</v>
      </c>
      <c r="B49" s="44" t="s">
        <v>62</v>
      </c>
      <c r="C49" s="110">
        <v>42550</v>
      </c>
      <c r="D49" s="69">
        <v>4416</v>
      </c>
      <c r="E49" s="90" t="s">
        <v>50</v>
      </c>
      <c r="F49" s="93" t="s">
        <v>21</v>
      </c>
      <c r="G49" s="93" t="s">
        <v>53</v>
      </c>
      <c r="H49" s="72">
        <v>88575.25</v>
      </c>
      <c r="I49" s="102">
        <f>'Depreciación ORIGINAL '!V16</f>
        <v>20049.553849315071</v>
      </c>
      <c r="J49" s="105">
        <f t="shared" si="8"/>
        <v>68525.696150684933</v>
      </c>
      <c r="K49" s="112">
        <f t="shared" si="9"/>
        <v>8857.5249999999996</v>
      </c>
      <c r="L49" s="112">
        <f t="shared" si="10"/>
        <v>79717.725000000006</v>
      </c>
      <c r="M49" s="112">
        <f t="shared" si="11"/>
        <v>15943.545000000002</v>
      </c>
      <c r="N49" s="116">
        <f t="shared" si="14"/>
        <v>43.68094520547946</v>
      </c>
      <c r="O49" s="124">
        <v>367</v>
      </c>
      <c r="P49" s="116">
        <f t="shared" si="12"/>
        <v>16030.906890410963</v>
      </c>
      <c r="Q49" s="117">
        <v>76519.3</v>
      </c>
      <c r="R49" s="118">
        <f t="shared" si="13"/>
        <v>60488.393109589044</v>
      </c>
      <c r="T49" s="175">
        <v>76519.3</v>
      </c>
      <c r="X49" s="118"/>
      <c r="Y49" s="174"/>
      <c r="Z49" s="601"/>
      <c r="AA49" s="601"/>
      <c r="AB49" s="601"/>
    </row>
    <row r="50" spans="1:28" s="112" customFormat="1" ht="48.95" customHeight="1" x14ac:dyDescent="0.3">
      <c r="A50" s="99">
        <v>1</v>
      </c>
      <c r="B50" s="44" t="s">
        <v>62</v>
      </c>
      <c r="C50" s="110">
        <v>42550</v>
      </c>
      <c r="D50" s="69">
        <v>4416</v>
      </c>
      <c r="E50" s="90" t="s">
        <v>50</v>
      </c>
      <c r="F50" s="93" t="s">
        <v>48</v>
      </c>
      <c r="G50" s="94" t="s">
        <v>49</v>
      </c>
      <c r="H50" s="72">
        <v>30766.25</v>
      </c>
      <c r="I50" s="102">
        <f>'Depreciación ORIGINAL '!V17</f>
        <v>6964.1303424657535</v>
      </c>
      <c r="J50" s="105">
        <f t="shared" si="8"/>
        <v>23802.119657534247</v>
      </c>
      <c r="K50" s="112">
        <f t="shared" si="9"/>
        <v>3076.625</v>
      </c>
      <c r="L50" s="112">
        <f t="shared" si="10"/>
        <v>27689.625</v>
      </c>
      <c r="M50" s="112">
        <f t="shared" si="11"/>
        <v>5537.9250000000002</v>
      </c>
      <c r="N50" s="116">
        <f t="shared" si="14"/>
        <v>15.172397260273973</v>
      </c>
      <c r="O50" s="124">
        <v>367</v>
      </c>
      <c r="P50" s="116">
        <f t="shared" si="12"/>
        <v>5568.2697945205482</v>
      </c>
      <c r="Q50" s="117">
        <v>26578.66</v>
      </c>
      <c r="R50" s="118">
        <f t="shared" si="13"/>
        <v>21010.390205479453</v>
      </c>
      <c r="T50" s="175">
        <v>26578.66</v>
      </c>
      <c r="X50" s="118"/>
      <c r="Y50" s="174"/>
    </row>
    <row r="51" spans="1:28" s="112" customFormat="1" ht="48.95" customHeight="1" x14ac:dyDescent="0.3">
      <c r="A51" s="99">
        <v>1</v>
      </c>
      <c r="B51" s="44" t="s">
        <v>62</v>
      </c>
      <c r="C51" s="110">
        <v>42550</v>
      </c>
      <c r="D51" s="69">
        <v>4416</v>
      </c>
      <c r="E51" s="90" t="s">
        <v>50</v>
      </c>
      <c r="F51" s="93" t="s">
        <v>48</v>
      </c>
      <c r="G51" s="94" t="s">
        <v>49</v>
      </c>
      <c r="H51" s="72">
        <v>30766.25</v>
      </c>
      <c r="I51" s="102">
        <f>'Depreciación ORIGINAL '!V18</f>
        <v>6964.1303424657535</v>
      </c>
      <c r="J51" s="105">
        <f t="shared" si="8"/>
        <v>23802.119657534247</v>
      </c>
      <c r="K51" s="112">
        <f t="shared" si="9"/>
        <v>3076.625</v>
      </c>
      <c r="L51" s="112">
        <f t="shared" si="10"/>
        <v>27689.625</v>
      </c>
      <c r="M51" s="112">
        <f t="shared" si="11"/>
        <v>5537.9250000000002</v>
      </c>
      <c r="N51" s="116">
        <f t="shared" si="14"/>
        <v>15.172397260273973</v>
      </c>
      <c r="O51" s="124">
        <v>367</v>
      </c>
      <c r="P51" s="116">
        <f t="shared" si="12"/>
        <v>5568.2697945205482</v>
      </c>
      <c r="Q51" s="117">
        <v>26578.66</v>
      </c>
      <c r="R51" s="118">
        <f t="shared" si="13"/>
        <v>21010.390205479453</v>
      </c>
      <c r="T51" s="175">
        <v>26578.66</v>
      </c>
      <c r="X51" s="118"/>
      <c r="Y51" s="174"/>
    </row>
    <row r="52" spans="1:28" s="112" customFormat="1" ht="48.95" customHeight="1" x14ac:dyDescent="0.3">
      <c r="A52" s="99">
        <v>1</v>
      </c>
      <c r="B52" s="44" t="s">
        <v>62</v>
      </c>
      <c r="C52" s="110">
        <v>42550</v>
      </c>
      <c r="D52" s="69">
        <v>4416</v>
      </c>
      <c r="E52" s="90" t="s">
        <v>51</v>
      </c>
      <c r="F52" s="93" t="s">
        <v>21</v>
      </c>
      <c r="G52" s="94" t="s">
        <v>52</v>
      </c>
      <c r="H52" s="72">
        <v>123942.75</v>
      </c>
      <c r="I52" s="102">
        <f>'Depreciación ORIGINAL '!V19</f>
        <v>28055.205493150686</v>
      </c>
      <c r="J52" s="105">
        <f t="shared" si="8"/>
        <v>95887.544506849314</v>
      </c>
      <c r="K52" s="112">
        <f t="shared" si="9"/>
        <v>12394.275000000001</v>
      </c>
      <c r="L52" s="112">
        <f t="shared" si="10"/>
        <v>111548.47500000001</v>
      </c>
      <c r="M52" s="112">
        <f t="shared" si="11"/>
        <v>22309.695000000003</v>
      </c>
      <c r="N52" s="116">
        <f t="shared" si="14"/>
        <v>61.122452054794529</v>
      </c>
      <c r="O52" s="124">
        <v>367</v>
      </c>
      <c r="P52" s="116">
        <f t="shared" si="12"/>
        <v>22431.939904109593</v>
      </c>
      <c r="Q52" s="117">
        <v>107072.95</v>
      </c>
      <c r="R52" s="118">
        <f t="shared" si="13"/>
        <v>84641.010095890408</v>
      </c>
      <c r="T52" s="175">
        <v>107072.95</v>
      </c>
      <c r="X52" s="118"/>
      <c r="Y52" s="174"/>
    </row>
    <row r="53" spans="1:28" s="112" customFormat="1" ht="48.95" customHeight="1" x14ac:dyDescent="0.3">
      <c r="A53" s="99">
        <v>1</v>
      </c>
      <c r="B53" s="44" t="s">
        <v>62</v>
      </c>
      <c r="C53" s="110">
        <v>42550</v>
      </c>
      <c r="D53" s="69">
        <v>4416</v>
      </c>
      <c r="E53" s="90" t="s">
        <v>51</v>
      </c>
      <c r="F53" s="93" t="s">
        <v>21</v>
      </c>
      <c r="G53" s="94" t="s">
        <v>52</v>
      </c>
      <c r="H53" s="72">
        <v>123942.75</v>
      </c>
      <c r="I53" s="102">
        <f>'Depreciación ORIGINAL '!V20</f>
        <v>28055.205493150686</v>
      </c>
      <c r="J53" s="105">
        <f t="shared" ref="J53:J65" si="15">H53-I53</f>
        <v>95887.544506849314</v>
      </c>
      <c r="K53" s="112">
        <f t="shared" ref="K53:K65" si="16">H53*10%</f>
        <v>12394.275000000001</v>
      </c>
      <c r="L53" s="112">
        <f t="shared" ref="L53:L65" si="17">H53-K53</f>
        <v>111548.47500000001</v>
      </c>
      <c r="M53" s="112">
        <f t="shared" ref="M53:M65" si="18">L53*20%</f>
        <v>22309.695000000003</v>
      </c>
      <c r="N53" s="116">
        <f t="shared" ref="N53:N65" si="19">M53/365</f>
        <v>61.122452054794529</v>
      </c>
      <c r="O53" s="124">
        <v>367</v>
      </c>
      <c r="P53" s="116">
        <f t="shared" ref="P53:P65" si="20">N53*O53</f>
        <v>22431.939904109593</v>
      </c>
      <c r="Q53" s="117">
        <v>107072.95</v>
      </c>
      <c r="R53" s="118">
        <f t="shared" ref="R53:R65" si="21">Q53-P53</f>
        <v>84641.010095890408</v>
      </c>
      <c r="T53" s="175">
        <v>107072.95</v>
      </c>
      <c r="X53" s="118"/>
      <c r="Y53" s="174"/>
    </row>
    <row r="54" spans="1:28" s="112" customFormat="1" ht="48.95" customHeight="1" x14ac:dyDescent="0.3">
      <c r="A54" s="111">
        <v>1</v>
      </c>
      <c r="B54" s="103" t="s">
        <v>130</v>
      </c>
      <c r="C54" s="109">
        <v>42634</v>
      </c>
      <c r="D54" s="69">
        <v>4657</v>
      </c>
      <c r="E54" s="104" t="s">
        <v>74</v>
      </c>
      <c r="F54" s="101" t="s">
        <v>24</v>
      </c>
      <c r="G54" s="107" t="s">
        <v>73</v>
      </c>
      <c r="H54" s="102">
        <v>31743</v>
      </c>
      <c r="I54" s="102">
        <f>'Depreciación ORIGINAL '!V22</f>
        <v>5870.2808219178078</v>
      </c>
      <c r="J54" s="105">
        <f t="shared" si="15"/>
        <v>25872.719178082192</v>
      </c>
      <c r="K54" s="112">
        <f t="shared" si="16"/>
        <v>3174.3</v>
      </c>
      <c r="L54" s="112">
        <f t="shared" si="17"/>
        <v>28568.7</v>
      </c>
      <c r="M54" s="112">
        <f t="shared" si="18"/>
        <v>5713.7400000000007</v>
      </c>
      <c r="N54" s="116">
        <f t="shared" si="19"/>
        <v>15.654082191780823</v>
      </c>
      <c r="O54" s="124">
        <v>283</v>
      </c>
      <c r="P54" s="116">
        <f t="shared" si="20"/>
        <v>4430.1052602739728</v>
      </c>
      <c r="Q54" s="117">
        <v>28737.38</v>
      </c>
      <c r="R54" s="118">
        <f t="shared" si="21"/>
        <v>24307.274739726028</v>
      </c>
      <c r="T54" s="175">
        <v>28737.38</v>
      </c>
      <c r="X54" s="118"/>
      <c r="Y54" s="174"/>
    </row>
    <row r="55" spans="1:28" s="112" customFormat="1" ht="48.95" customHeight="1" x14ac:dyDescent="0.3">
      <c r="A55" s="111">
        <v>1</v>
      </c>
      <c r="B55" s="103" t="s">
        <v>130</v>
      </c>
      <c r="C55" s="109">
        <v>42634</v>
      </c>
      <c r="D55" s="69">
        <v>4657</v>
      </c>
      <c r="E55" s="104" t="s">
        <v>74</v>
      </c>
      <c r="F55" s="101" t="s">
        <v>24</v>
      </c>
      <c r="G55" s="107" t="s">
        <v>73</v>
      </c>
      <c r="H55" s="102">
        <v>31743</v>
      </c>
      <c r="I55" s="102">
        <f>'Depreciación ORIGINAL '!V23</f>
        <v>5870.2808219178078</v>
      </c>
      <c r="J55" s="105">
        <f t="shared" si="15"/>
        <v>25872.719178082192</v>
      </c>
      <c r="K55" s="112">
        <f t="shared" si="16"/>
        <v>3174.3</v>
      </c>
      <c r="L55" s="112">
        <f t="shared" si="17"/>
        <v>28568.7</v>
      </c>
      <c r="M55" s="112">
        <f t="shared" si="18"/>
        <v>5713.7400000000007</v>
      </c>
      <c r="N55" s="116">
        <f t="shared" si="19"/>
        <v>15.654082191780823</v>
      </c>
      <c r="O55" s="124">
        <v>283</v>
      </c>
      <c r="P55" s="116">
        <f t="shared" si="20"/>
        <v>4430.1052602739728</v>
      </c>
      <c r="Q55" s="117">
        <v>28737.38</v>
      </c>
      <c r="R55" s="118">
        <f t="shared" si="21"/>
        <v>24307.274739726028</v>
      </c>
      <c r="T55" s="175">
        <v>28737.38</v>
      </c>
      <c r="X55" s="118"/>
      <c r="Y55" s="174"/>
      <c r="Z55" s="603" t="s">
        <v>122</v>
      </c>
      <c r="AA55" s="603"/>
      <c r="AB55" s="603"/>
    </row>
    <row r="56" spans="1:28" s="112" customFormat="1" ht="48.95" customHeight="1" x14ac:dyDescent="0.3">
      <c r="A56" s="111">
        <v>1</v>
      </c>
      <c r="B56" s="103" t="s">
        <v>130</v>
      </c>
      <c r="C56" s="109">
        <v>42634</v>
      </c>
      <c r="D56" s="69">
        <v>4657</v>
      </c>
      <c r="E56" s="104" t="s">
        <v>74</v>
      </c>
      <c r="F56" s="101" t="s">
        <v>24</v>
      </c>
      <c r="G56" s="107" t="s">
        <v>73</v>
      </c>
      <c r="H56" s="102">
        <v>31743</v>
      </c>
      <c r="I56" s="102">
        <f>'Depreciación ORIGINAL '!V24</f>
        <v>5870.2808219178078</v>
      </c>
      <c r="J56" s="105">
        <f t="shared" si="15"/>
        <v>25872.719178082192</v>
      </c>
      <c r="K56" s="112">
        <f t="shared" si="16"/>
        <v>3174.3</v>
      </c>
      <c r="L56" s="112">
        <f t="shared" si="17"/>
        <v>28568.7</v>
      </c>
      <c r="M56" s="112">
        <f t="shared" si="18"/>
        <v>5713.7400000000007</v>
      </c>
      <c r="N56" s="116">
        <f t="shared" si="19"/>
        <v>15.654082191780823</v>
      </c>
      <c r="O56" s="124">
        <v>283</v>
      </c>
      <c r="P56" s="116">
        <f t="shared" si="20"/>
        <v>4430.1052602739728</v>
      </c>
      <c r="Q56" s="117">
        <v>28737.38</v>
      </c>
      <c r="R56" s="118">
        <f t="shared" si="21"/>
        <v>24307.274739726028</v>
      </c>
      <c r="T56" s="175">
        <v>28737.38</v>
      </c>
      <c r="X56" s="118"/>
      <c r="Y56" s="174"/>
    </row>
    <row r="57" spans="1:28" s="112" customFormat="1" ht="48.95" customHeight="1" x14ac:dyDescent="0.3">
      <c r="A57" s="111">
        <v>1</v>
      </c>
      <c r="B57" s="103" t="s">
        <v>130</v>
      </c>
      <c r="C57" s="109">
        <v>42634</v>
      </c>
      <c r="D57" s="69">
        <v>4657</v>
      </c>
      <c r="E57" s="104" t="s">
        <v>74</v>
      </c>
      <c r="F57" s="101" t="s">
        <v>24</v>
      </c>
      <c r="G57" s="107" t="s">
        <v>73</v>
      </c>
      <c r="H57" s="102">
        <v>31743</v>
      </c>
      <c r="I57" s="102">
        <f>'Depreciación ORIGINAL '!V25</f>
        <v>5870.2808219178078</v>
      </c>
      <c r="J57" s="105">
        <f t="shared" si="15"/>
        <v>25872.719178082192</v>
      </c>
      <c r="K57" s="112">
        <f t="shared" si="16"/>
        <v>3174.3</v>
      </c>
      <c r="L57" s="112">
        <f t="shared" si="17"/>
        <v>28568.7</v>
      </c>
      <c r="M57" s="112">
        <f t="shared" si="18"/>
        <v>5713.7400000000007</v>
      </c>
      <c r="N57" s="116">
        <f t="shared" si="19"/>
        <v>15.654082191780823</v>
      </c>
      <c r="O57" s="124">
        <v>283</v>
      </c>
      <c r="P57" s="116">
        <f t="shared" si="20"/>
        <v>4430.1052602739728</v>
      </c>
      <c r="Q57" s="117">
        <v>28737.38</v>
      </c>
      <c r="R57" s="118">
        <f t="shared" si="21"/>
        <v>24307.274739726028</v>
      </c>
      <c r="T57" s="175">
        <v>28737.38</v>
      </c>
      <c r="X57" s="118"/>
      <c r="Y57" s="174"/>
    </row>
    <row r="58" spans="1:28" s="112" customFormat="1" ht="48.95" customHeight="1" x14ac:dyDescent="0.3">
      <c r="A58" s="111">
        <v>1</v>
      </c>
      <c r="B58" s="103" t="s">
        <v>130</v>
      </c>
      <c r="C58" s="109">
        <v>42634</v>
      </c>
      <c r="D58" s="69">
        <v>4657</v>
      </c>
      <c r="E58" s="104" t="s">
        <v>74</v>
      </c>
      <c r="F58" s="101" t="s">
        <v>24</v>
      </c>
      <c r="G58" s="107" t="s">
        <v>73</v>
      </c>
      <c r="H58" s="102">
        <v>31743</v>
      </c>
      <c r="I58" s="102">
        <f>'Depreciación ORIGINAL '!V26</f>
        <v>5870.2808219178078</v>
      </c>
      <c r="J58" s="105">
        <f t="shared" si="15"/>
        <v>25872.719178082192</v>
      </c>
      <c r="K58" s="112">
        <f t="shared" si="16"/>
        <v>3174.3</v>
      </c>
      <c r="L58" s="112">
        <f t="shared" si="17"/>
        <v>28568.7</v>
      </c>
      <c r="M58" s="112">
        <f t="shared" si="18"/>
        <v>5713.7400000000007</v>
      </c>
      <c r="N58" s="116">
        <f t="shared" si="19"/>
        <v>15.654082191780823</v>
      </c>
      <c r="O58" s="124">
        <v>283</v>
      </c>
      <c r="P58" s="116">
        <f t="shared" si="20"/>
        <v>4430.1052602739728</v>
      </c>
      <c r="Q58" s="117">
        <v>28737.38</v>
      </c>
      <c r="R58" s="118">
        <f t="shared" si="21"/>
        <v>24307.274739726028</v>
      </c>
      <c r="T58" s="175">
        <v>28737.38</v>
      </c>
      <c r="X58" s="118"/>
      <c r="Y58" s="174"/>
    </row>
    <row r="59" spans="1:28" s="112" customFormat="1" ht="48.95" customHeight="1" x14ac:dyDescent="0.3">
      <c r="A59" s="111">
        <v>1</v>
      </c>
      <c r="B59" s="103" t="s">
        <v>130</v>
      </c>
      <c r="C59" s="109">
        <v>42634</v>
      </c>
      <c r="D59" s="69">
        <v>4657</v>
      </c>
      <c r="E59" s="104" t="s">
        <v>74</v>
      </c>
      <c r="F59" s="101" t="s">
        <v>24</v>
      </c>
      <c r="G59" s="107" t="s">
        <v>73</v>
      </c>
      <c r="H59" s="102">
        <v>31743</v>
      </c>
      <c r="I59" s="102">
        <f>'Depreciación ORIGINAL '!V27</f>
        <v>5870.2808219178078</v>
      </c>
      <c r="J59" s="105">
        <f t="shared" si="15"/>
        <v>25872.719178082192</v>
      </c>
      <c r="K59" s="112">
        <f t="shared" si="16"/>
        <v>3174.3</v>
      </c>
      <c r="L59" s="112">
        <f t="shared" si="17"/>
        <v>28568.7</v>
      </c>
      <c r="M59" s="112">
        <f t="shared" si="18"/>
        <v>5713.7400000000007</v>
      </c>
      <c r="N59" s="116">
        <f t="shared" si="19"/>
        <v>15.654082191780823</v>
      </c>
      <c r="O59" s="124">
        <v>283</v>
      </c>
      <c r="P59" s="116">
        <f t="shared" si="20"/>
        <v>4430.1052602739728</v>
      </c>
      <c r="Q59" s="117">
        <v>28737.38</v>
      </c>
      <c r="R59" s="118">
        <f t="shared" si="21"/>
        <v>24307.274739726028</v>
      </c>
      <c r="T59" s="175">
        <v>28737.38</v>
      </c>
      <c r="X59" s="118"/>
      <c r="Y59" s="174"/>
    </row>
    <row r="60" spans="1:28" s="112" customFormat="1" ht="48.95" customHeight="1" x14ac:dyDescent="0.3">
      <c r="A60" s="111">
        <v>1</v>
      </c>
      <c r="B60" s="103" t="s">
        <v>130</v>
      </c>
      <c r="C60" s="109">
        <v>42634</v>
      </c>
      <c r="D60" s="69">
        <v>4657</v>
      </c>
      <c r="E60" s="104" t="s">
        <v>74</v>
      </c>
      <c r="F60" s="101" t="s">
        <v>24</v>
      </c>
      <c r="G60" s="107" t="s">
        <v>73</v>
      </c>
      <c r="H60" s="102">
        <v>31743</v>
      </c>
      <c r="I60" s="102">
        <f>'Depreciación ORIGINAL '!V28</f>
        <v>5870.2808219178078</v>
      </c>
      <c r="J60" s="105">
        <f t="shared" si="15"/>
        <v>25872.719178082192</v>
      </c>
      <c r="K60" s="112">
        <f t="shared" si="16"/>
        <v>3174.3</v>
      </c>
      <c r="L60" s="112">
        <f t="shared" si="17"/>
        <v>28568.7</v>
      </c>
      <c r="M60" s="112">
        <f t="shared" si="18"/>
        <v>5713.7400000000007</v>
      </c>
      <c r="N60" s="116">
        <f t="shared" si="19"/>
        <v>15.654082191780823</v>
      </c>
      <c r="O60" s="124">
        <v>283</v>
      </c>
      <c r="P60" s="116">
        <f t="shared" si="20"/>
        <v>4430.1052602739728</v>
      </c>
      <c r="Q60" s="117">
        <v>28737.38</v>
      </c>
      <c r="R60" s="118">
        <f t="shared" si="21"/>
        <v>24307.274739726028</v>
      </c>
      <c r="T60" s="175">
        <v>28737.38</v>
      </c>
      <c r="X60" s="118"/>
      <c r="Y60" s="174"/>
    </row>
    <row r="61" spans="1:28" s="112" customFormat="1" ht="48.95" customHeight="1" x14ac:dyDescent="0.3">
      <c r="A61" s="111">
        <v>1</v>
      </c>
      <c r="B61" s="103" t="s">
        <v>130</v>
      </c>
      <c r="C61" s="109">
        <v>42634</v>
      </c>
      <c r="D61" s="69">
        <v>4657</v>
      </c>
      <c r="E61" s="104" t="s">
        <v>74</v>
      </c>
      <c r="F61" s="101" t="s">
        <v>24</v>
      </c>
      <c r="G61" s="107" t="s">
        <v>73</v>
      </c>
      <c r="H61" s="102">
        <v>31743</v>
      </c>
      <c r="I61" s="102">
        <f>'Depreciación ORIGINAL '!V29</f>
        <v>5870.2808219178078</v>
      </c>
      <c r="J61" s="105">
        <f t="shared" si="15"/>
        <v>25872.719178082192</v>
      </c>
      <c r="K61" s="112">
        <f t="shared" si="16"/>
        <v>3174.3</v>
      </c>
      <c r="L61" s="112">
        <f t="shared" si="17"/>
        <v>28568.7</v>
      </c>
      <c r="M61" s="112">
        <f t="shared" si="18"/>
        <v>5713.7400000000007</v>
      </c>
      <c r="N61" s="116">
        <f t="shared" si="19"/>
        <v>15.654082191780823</v>
      </c>
      <c r="O61" s="124">
        <v>283</v>
      </c>
      <c r="P61" s="116">
        <f t="shared" si="20"/>
        <v>4430.1052602739728</v>
      </c>
      <c r="Q61" s="117">
        <v>28737.38</v>
      </c>
      <c r="R61" s="118">
        <f t="shared" si="21"/>
        <v>24307.274739726028</v>
      </c>
      <c r="T61" s="175">
        <v>28737.38</v>
      </c>
      <c r="X61" s="118"/>
      <c r="Y61" s="174"/>
    </row>
    <row r="62" spans="1:28" s="112" customFormat="1" ht="48.95" customHeight="1" x14ac:dyDescent="0.3">
      <c r="A62" s="111">
        <v>1</v>
      </c>
      <c r="B62" s="103" t="s">
        <v>130</v>
      </c>
      <c r="C62" s="109">
        <v>42634</v>
      </c>
      <c r="D62" s="69">
        <v>4658</v>
      </c>
      <c r="E62" s="104" t="s">
        <v>75</v>
      </c>
      <c r="F62" s="101" t="s">
        <v>24</v>
      </c>
      <c r="G62" s="107" t="s">
        <v>72</v>
      </c>
      <c r="H62" s="102">
        <v>37805</v>
      </c>
      <c r="I62" s="102">
        <f>'Depreciación ORIGINAL '!V30</f>
        <v>6991.3356164383549</v>
      </c>
      <c r="J62" s="105">
        <f t="shared" si="15"/>
        <v>30813.664383561645</v>
      </c>
      <c r="K62" s="112">
        <f t="shared" si="16"/>
        <v>3780.5</v>
      </c>
      <c r="L62" s="112">
        <f t="shared" si="17"/>
        <v>34024.5</v>
      </c>
      <c r="M62" s="112">
        <f t="shared" si="18"/>
        <v>6804.9000000000005</v>
      </c>
      <c r="N62" s="116">
        <f t="shared" si="19"/>
        <v>18.643561643835618</v>
      </c>
      <c r="O62" s="124">
        <v>283</v>
      </c>
      <c r="P62" s="116">
        <f t="shared" si="20"/>
        <v>5276.1279452054796</v>
      </c>
      <c r="Q62" s="117">
        <v>34225.43</v>
      </c>
      <c r="R62" s="118">
        <f t="shared" si="21"/>
        <v>28949.30205479452</v>
      </c>
      <c r="T62" s="176">
        <v>34225.43</v>
      </c>
      <c r="X62" s="118"/>
      <c r="Y62" s="174"/>
    </row>
    <row r="63" spans="1:28" s="112" customFormat="1" ht="48.95" customHeight="1" x14ac:dyDescent="0.3">
      <c r="A63" s="111">
        <v>1</v>
      </c>
      <c r="B63" s="103" t="s">
        <v>130</v>
      </c>
      <c r="C63" s="109">
        <v>42634</v>
      </c>
      <c r="D63" s="69">
        <v>4658</v>
      </c>
      <c r="E63" s="104" t="s">
        <v>76</v>
      </c>
      <c r="F63" s="101" t="s">
        <v>24</v>
      </c>
      <c r="G63" s="107" t="s">
        <v>72</v>
      </c>
      <c r="H63" s="102">
        <v>37805</v>
      </c>
      <c r="I63" s="102">
        <f>'Depreciación ORIGINAL '!V31</f>
        <v>6991.3356164383549</v>
      </c>
      <c r="J63" s="105">
        <f t="shared" si="15"/>
        <v>30813.664383561645</v>
      </c>
      <c r="K63" s="112">
        <f t="shared" si="16"/>
        <v>3780.5</v>
      </c>
      <c r="L63" s="112">
        <f t="shared" si="17"/>
        <v>34024.5</v>
      </c>
      <c r="M63" s="112">
        <f t="shared" si="18"/>
        <v>6804.9000000000005</v>
      </c>
      <c r="N63" s="116">
        <f t="shared" si="19"/>
        <v>18.643561643835618</v>
      </c>
      <c r="O63" s="124">
        <v>283</v>
      </c>
      <c r="P63" s="116">
        <f t="shared" si="20"/>
        <v>5276.1279452054796</v>
      </c>
      <c r="Q63" s="117">
        <v>34225.43</v>
      </c>
      <c r="R63" s="118">
        <f t="shared" si="21"/>
        <v>28949.30205479452</v>
      </c>
      <c r="T63" s="176">
        <v>34225.43</v>
      </c>
      <c r="X63" s="118"/>
      <c r="Y63" s="174"/>
    </row>
    <row r="64" spans="1:28" s="112" customFormat="1" ht="51" x14ac:dyDescent="0.3">
      <c r="A64" s="111">
        <v>1</v>
      </c>
      <c r="B64" s="103" t="s">
        <v>130</v>
      </c>
      <c r="C64" s="109">
        <v>42634</v>
      </c>
      <c r="D64" s="69">
        <v>4658</v>
      </c>
      <c r="E64" s="104" t="s">
        <v>77</v>
      </c>
      <c r="F64" s="101" t="s">
        <v>24</v>
      </c>
      <c r="G64" s="107" t="s">
        <v>71</v>
      </c>
      <c r="H64" s="102">
        <v>37805</v>
      </c>
      <c r="I64" s="102">
        <f>'Depreciación ORIGINAL '!V32</f>
        <v>6991.3356164383549</v>
      </c>
      <c r="J64" s="105">
        <f t="shared" si="15"/>
        <v>30813.664383561645</v>
      </c>
      <c r="K64" s="112">
        <f t="shared" si="16"/>
        <v>3780.5</v>
      </c>
      <c r="L64" s="112">
        <f t="shared" si="17"/>
        <v>34024.5</v>
      </c>
      <c r="M64" s="112">
        <f t="shared" si="18"/>
        <v>6804.9000000000005</v>
      </c>
      <c r="N64" s="116">
        <f t="shared" si="19"/>
        <v>18.643561643835618</v>
      </c>
      <c r="O64" s="124">
        <v>283</v>
      </c>
      <c r="P64" s="116">
        <f t="shared" si="20"/>
        <v>5276.1279452054796</v>
      </c>
      <c r="Q64" s="117">
        <v>34225.43</v>
      </c>
      <c r="R64" s="118">
        <f t="shared" si="21"/>
        <v>28949.30205479452</v>
      </c>
      <c r="T64" s="176">
        <v>34225.43</v>
      </c>
      <c r="X64" s="118"/>
      <c r="Y64" s="174"/>
    </row>
    <row r="65" spans="1:25" s="112" customFormat="1" ht="51" x14ac:dyDescent="0.2">
      <c r="A65" s="111">
        <v>1</v>
      </c>
      <c r="B65" s="103" t="s">
        <v>130</v>
      </c>
      <c r="C65" s="109">
        <v>42634</v>
      </c>
      <c r="D65" s="69">
        <v>4658</v>
      </c>
      <c r="E65" s="104" t="s">
        <v>77</v>
      </c>
      <c r="F65" s="101" t="s">
        <v>24</v>
      </c>
      <c r="G65" s="107" t="s">
        <v>71</v>
      </c>
      <c r="H65" s="102">
        <v>37805</v>
      </c>
      <c r="I65" s="102">
        <f>'Depreciación ORIGINAL '!V33</f>
        <v>6991.3356164383549</v>
      </c>
      <c r="J65" s="105">
        <f t="shared" si="15"/>
        <v>30813.664383561645</v>
      </c>
      <c r="K65" s="112">
        <f t="shared" si="16"/>
        <v>3780.5</v>
      </c>
      <c r="L65" s="112">
        <f t="shared" si="17"/>
        <v>34024.5</v>
      </c>
      <c r="M65" s="112">
        <f t="shared" si="18"/>
        <v>6804.9000000000005</v>
      </c>
      <c r="N65" s="116">
        <f t="shared" si="19"/>
        <v>18.643561643835618</v>
      </c>
      <c r="O65" s="124">
        <v>283</v>
      </c>
      <c r="P65" s="116">
        <f t="shared" si="20"/>
        <v>5276.1279452054796</v>
      </c>
      <c r="Q65" s="117">
        <v>34225.43</v>
      </c>
      <c r="R65" s="118">
        <f t="shared" si="21"/>
        <v>28949.30205479452</v>
      </c>
      <c r="T65" s="176">
        <v>34225.43</v>
      </c>
      <c r="X65" s="118"/>
    </row>
    <row r="66" spans="1:25" s="112" customFormat="1" ht="25.5" x14ac:dyDescent="0.2">
      <c r="A66" s="40"/>
      <c r="B66" s="48"/>
      <c r="C66" s="20"/>
      <c r="D66" s="20"/>
      <c r="E66" s="59"/>
      <c r="H66" s="19"/>
      <c r="I66" s="19"/>
      <c r="J66" s="19"/>
      <c r="O66" s="123"/>
    </row>
    <row r="67" spans="1:25" s="112" customFormat="1" ht="23.25" x14ac:dyDescent="0.3">
      <c r="A67" s="122"/>
      <c r="B67" s="48"/>
      <c r="C67" s="20"/>
      <c r="D67" s="334"/>
      <c r="E67" s="335"/>
      <c r="I67" s="336"/>
      <c r="N67" s="116"/>
      <c r="O67" s="124"/>
      <c r="P67" s="116"/>
      <c r="Q67" s="117"/>
      <c r="R67" s="118"/>
      <c r="T67" s="176"/>
      <c r="Y67" s="177"/>
    </row>
    <row r="68" spans="1:25" s="112" customFormat="1" ht="23.25" x14ac:dyDescent="0.3">
      <c r="A68" s="122"/>
      <c r="B68" s="48"/>
      <c r="C68" s="20"/>
      <c r="D68" s="334"/>
      <c r="E68" s="335"/>
      <c r="I68" s="336"/>
      <c r="N68" s="116"/>
      <c r="O68" s="124"/>
      <c r="P68" s="116"/>
      <c r="Q68" s="117"/>
      <c r="R68" s="118"/>
      <c r="T68" s="176"/>
      <c r="Y68" s="177"/>
    </row>
    <row r="69" spans="1:25" s="112" customFormat="1" ht="23.25" x14ac:dyDescent="0.3">
      <c r="A69" s="122"/>
      <c r="B69" s="48"/>
      <c r="C69" s="20"/>
      <c r="D69" s="334"/>
      <c r="E69" s="335"/>
      <c r="I69" s="336"/>
      <c r="N69" s="116"/>
      <c r="O69" s="124"/>
      <c r="P69" s="116"/>
      <c r="Q69" s="117"/>
      <c r="R69" s="118"/>
      <c r="T69" s="176"/>
      <c r="Y69" s="177"/>
    </row>
    <row r="70" spans="1:25" s="112" customFormat="1" ht="23.25" x14ac:dyDescent="0.3">
      <c r="A70" s="122"/>
      <c r="B70" s="48"/>
      <c r="C70" s="20"/>
      <c r="D70" s="334"/>
      <c r="E70" s="335"/>
      <c r="I70" s="336"/>
      <c r="N70" s="116"/>
      <c r="O70" s="124"/>
      <c r="P70" s="116"/>
      <c r="Q70" s="117"/>
      <c r="R70" s="118"/>
      <c r="T70" s="176"/>
      <c r="Y70" s="177"/>
    </row>
    <row r="71" spans="1:25" s="112" customFormat="1" ht="23.25" x14ac:dyDescent="0.3">
      <c r="A71" s="122"/>
      <c r="B71" s="48"/>
      <c r="C71" s="20"/>
      <c r="D71" s="334"/>
      <c r="E71" s="335"/>
      <c r="I71" s="336"/>
      <c r="N71" s="116"/>
      <c r="O71" s="124"/>
      <c r="P71" s="116"/>
      <c r="Q71" s="117"/>
      <c r="R71" s="118"/>
      <c r="T71" s="176"/>
      <c r="Y71" s="177"/>
    </row>
    <row r="72" spans="1:25" s="112" customFormat="1" ht="23.25" x14ac:dyDescent="0.3">
      <c r="A72" s="122"/>
      <c r="B72" s="48"/>
      <c r="C72" s="20"/>
      <c r="D72" s="334"/>
      <c r="E72" s="335"/>
      <c r="I72" s="336"/>
      <c r="N72" s="116"/>
      <c r="O72" s="124"/>
      <c r="P72" s="116"/>
      <c r="Q72" s="117"/>
      <c r="R72" s="118"/>
      <c r="T72" s="176"/>
      <c r="Y72" s="177"/>
    </row>
    <row r="73" spans="1:25" s="112" customFormat="1" ht="23.25" x14ac:dyDescent="0.3">
      <c r="A73" s="122"/>
      <c r="B73" s="48"/>
      <c r="C73" s="20"/>
      <c r="D73" s="334"/>
      <c r="E73" s="335"/>
      <c r="I73" s="336"/>
      <c r="N73" s="116"/>
      <c r="O73" s="124"/>
      <c r="P73" s="116"/>
      <c r="Q73" s="117"/>
      <c r="R73" s="118"/>
      <c r="T73" s="176"/>
      <c r="Y73" s="177"/>
    </row>
    <row r="74" spans="1:25" s="1" customFormat="1" ht="38.1" customHeight="1" x14ac:dyDescent="0.2">
      <c r="A74" s="40"/>
      <c r="B74" s="48"/>
      <c r="C74" s="20"/>
      <c r="D74" s="20"/>
      <c r="E74" s="59"/>
      <c r="F74" s="112"/>
      <c r="G74" s="112"/>
      <c r="H74" s="19"/>
      <c r="I74" s="19"/>
      <c r="J74" s="19"/>
      <c r="K74" s="112"/>
      <c r="L74" s="112"/>
      <c r="M74" s="112"/>
      <c r="O74" s="127"/>
    </row>
    <row r="75" spans="1:25" s="41" customFormat="1" ht="23.1" customHeight="1" thickBot="1" x14ac:dyDescent="0.4">
      <c r="A75" s="40"/>
      <c r="B75" s="588" t="s">
        <v>41</v>
      </c>
      <c r="C75" s="588"/>
      <c r="D75" s="588"/>
      <c r="E75" s="588"/>
      <c r="F75" s="588"/>
      <c r="G75" s="588"/>
      <c r="H75" s="588"/>
      <c r="I75" s="588"/>
      <c r="J75" s="49"/>
      <c r="K75" s="112"/>
      <c r="L75" s="112"/>
      <c r="M75" s="112"/>
      <c r="O75" s="128"/>
    </row>
    <row r="76" spans="1:25" s="41" customFormat="1" ht="23.1" customHeight="1" x14ac:dyDescent="0.2">
      <c r="A76" s="40"/>
      <c r="B76" s="589" t="s">
        <v>7</v>
      </c>
      <c r="C76" s="589"/>
      <c r="D76" s="589"/>
      <c r="E76" s="589"/>
      <c r="F76" s="589"/>
      <c r="G76" s="589"/>
      <c r="H76" s="589"/>
      <c r="I76" s="589"/>
      <c r="J76" s="49"/>
      <c r="K76" s="112"/>
      <c r="L76" s="112"/>
      <c r="M76" s="112"/>
      <c r="O76" s="128"/>
    </row>
    <row r="77" spans="1:25" s="41" customFormat="1" ht="23.1" customHeight="1" x14ac:dyDescent="0.35">
      <c r="A77" s="40"/>
      <c r="B77" s="590" t="s">
        <v>8</v>
      </c>
      <c r="C77" s="590"/>
      <c r="D77" s="590"/>
      <c r="E77" s="590"/>
      <c r="F77" s="590"/>
      <c r="G77" s="590"/>
      <c r="H77" s="590"/>
      <c r="I77" s="590"/>
      <c r="J77" s="147"/>
      <c r="K77" s="112"/>
      <c r="L77" s="112"/>
      <c r="M77" s="112"/>
      <c r="O77" s="128"/>
    </row>
    <row r="78" spans="1:25" s="41" customFormat="1" ht="23.1" customHeight="1" x14ac:dyDescent="0.35">
      <c r="A78" s="40"/>
      <c r="B78" s="590" t="s">
        <v>9</v>
      </c>
      <c r="C78" s="590"/>
      <c r="D78" s="590"/>
      <c r="E78" s="590"/>
      <c r="F78" s="590"/>
      <c r="G78" s="590"/>
      <c r="H78" s="590"/>
      <c r="I78" s="590"/>
      <c r="J78" s="50"/>
      <c r="K78" s="112"/>
      <c r="L78" s="112"/>
      <c r="M78" s="112"/>
      <c r="O78" s="128"/>
    </row>
    <row r="79" spans="1:25" s="41" customFormat="1" ht="23.1" customHeight="1" x14ac:dyDescent="0.35">
      <c r="A79" s="40"/>
      <c r="B79" s="147"/>
      <c r="C79" s="147"/>
      <c r="D79" s="147"/>
      <c r="E79" s="147"/>
      <c r="F79" s="147"/>
      <c r="G79" s="147"/>
      <c r="H79" s="147"/>
      <c r="I79" s="147"/>
      <c r="J79" s="50"/>
      <c r="K79" s="112"/>
      <c r="L79" s="112"/>
      <c r="M79" s="112"/>
      <c r="O79" s="128"/>
    </row>
    <row r="80" spans="1:25" s="1" customFormat="1" ht="23.1" customHeight="1" x14ac:dyDescent="0.35">
      <c r="A80" s="40"/>
      <c r="B80" s="51"/>
      <c r="C80" s="51"/>
      <c r="D80" s="51"/>
      <c r="E80" s="51"/>
      <c r="F80" s="51"/>
      <c r="G80" s="51"/>
      <c r="H80" s="51"/>
      <c r="I80" s="51"/>
      <c r="J80" s="52"/>
      <c r="K80" s="112"/>
      <c r="L80" s="112"/>
      <c r="M80" s="112"/>
      <c r="O80" s="127"/>
    </row>
    <row r="81" spans="1:18" x14ac:dyDescent="0.3">
      <c r="A81" s="75"/>
      <c r="B81" s="75"/>
      <c r="C81" s="12"/>
      <c r="D81" s="12"/>
      <c r="E81" s="12"/>
      <c r="F81" s="75"/>
      <c r="G81" s="75"/>
      <c r="J81" s="13"/>
      <c r="O81" s="126"/>
    </row>
    <row r="82" spans="1:18" s="2" customFormat="1" ht="24.95" customHeight="1" x14ac:dyDescent="0.35">
      <c r="A82" s="77"/>
      <c r="B82" s="78"/>
      <c r="C82" s="4"/>
      <c r="D82" s="4"/>
      <c r="E82" s="79"/>
      <c r="F82" s="30"/>
      <c r="G82" s="30"/>
      <c r="H82" s="4"/>
      <c r="I82" s="80"/>
      <c r="J82" s="5"/>
      <c r="K82" s="112"/>
      <c r="L82" s="112"/>
      <c r="M82" s="112"/>
      <c r="O82" s="130"/>
    </row>
    <row r="83" spans="1:18" s="2" customFormat="1" ht="24.95" customHeight="1" x14ac:dyDescent="0.35">
      <c r="A83" s="77"/>
      <c r="B83" s="78"/>
      <c r="C83" s="4"/>
      <c r="D83" s="4"/>
      <c r="E83" s="81"/>
      <c r="F83" s="30"/>
      <c r="G83" s="30"/>
      <c r="H83" s="4"/>
      <c r="I83" s="5"/>
      <c r="J83" s="5"/>
      <c r="K83" s="112"/>
      <c r="L83" s="112"/>
      <c r="M83" s="112"/>
      <c r="O83" s="130"/>
    </row>
    <row r="84" spans="1:18" s="2" customFormat="1" ht="30" customHeight="1" x14ac:dyDescent="0.35">
      <c r="A84" s="78"/>
      <c r="B84" s="78"/>
      <c r="C84" s="4"/>
      <c r="D84" s="4"/>
      <c r="E84" s="81"/>
      <c r="F84" s="30"/>
      <c r="G84" s="30"/>
      <c r="H84" s="4"/>
      <c r="I84" s="5"/>
      <c r="J84" s="5"/>
      <c r="K84" s="112"/>
      <c r="L84" s="112"/>
      <c r="M84" s="112"/>
      <c r="O84" s="130"/>
    </row>
    <row r="85" spans="1:18" s="2" customFormat="1" ht="30" customHeight="1" thickBot="1" x14ac:dyDescent="0.4">
      <c r="A85" s="78"/>
      <c r="B85" s="78"/>
      <c r="C85" s="4"/>
      <c r="D85" s="4"/>
      <c r="E85" s="81"/>
      <c r="F85" s="30"/>
      <c r="G85" s="30"/>
      <c r="H85" s="4"/>
      <c r="I85" s="5"/>
      <c r="J85" s="5"/>
      <c r="K85" s="112"/>
      <c r="L85" s="112"/>
      <c r="M85" s="112"/>
      <c r="O85" s="130"/>
    </row>
    <row r="86" spans="1:18" ht="70.5" customHeight="1" thickBot="1" x14ac:dyDescent="0.4">
      <c r="A86" s="587"/>
      <c r="B86" s="587"/>
      <c r="C86" s="587"/>
      <c r="D86" s="587"/>
      <c r="E86" s="587"/>
      <c r="F86" s="587"/>
      <c r="G86" s="587"/>
      <c r="H86" s="587"/>
      <c r="I86" s="587"/>
      <c r="J86" s="587"/>
      <c r="K86" s="131"/>
      <c r="L86" s="131"/>
      <c r="M86" s="131"/>
      <c r="N86" s="132"/>
      <c r="O86" s="132"/>
      <c r="P86" s="132"/>
      <c r="Q86" s="132"/>
      <c r="R86" s="132"/>
    </row>
    <row r="87" spans="1:18" ht="67.5" customHeight="1" x14ac:dyDescent="0.35">
      <c r="A87" s="592"/>
      <c r="B87" s="592"/>
      <c r="C87" s="592"/>
      <c r="D87" s="592"/>
      <c r="E87" s="592"/>
      <c r="F87" s="592"/>
      <c r="G87" s="592"/>
      <c r="H87" s="592"/>
      <c r="I87" s="592"/>
      <c r="J87" s="592"/>
      <c r="N87" s="133"/>
      <c r="O87" s="133"/>
      <c r="P87" s="9"/>
      <c r="Q87" s="9"/>
      <c r="R87" s="9"/>
    </row>
    <row r="88" spans="1:18" ht="23.25" x14ac:dyDescent="0.35">
      <c r="A88" s="78"/>
      <c r="B88" s="78"/>
      <c r="C88" s="82"/>
      <c r="D88" s="82"/>
      <c r="E88" s="30"/>
      <c r="F88" s="30"/>
      <c r="G88" s="30"/>
      <c r="H88" s="30"/>
      <c r="I88" s="31"/>
      <c r="J88" s="30"/>
      <c r="O88" s="126"/>
    </row>
    <row r="91" spans="1:18" ht="23.25" x14ac:dyDescent="0.35">
      <c r="A91" s="83"/>
      <c r="B91" s="84"/>
      <c r="C91" s="85"/>
      <c r="D91" s="85"/>
      <c r="E91" s="4"/>
      <c r="F91" s="86"/>
      <c r="G91" s="86"/>
      <c r="H91" s="35"/>
      <c r="I91" s="36"/>
      <c r="J91" s="35"/>
    </row>
    <row r="92" spans="1:18" ht="23.25" x14ac:dyDescent="0.35">
      <c r="A92" s="83"/>
      <c r="B92" s="84"/>
      <c r="C92" s="85"/>
      <c r="D92" s="85"/>
      <c r="E92" s="4"/>
      <c r="F92" s="86"/>
      <c r="G92" s="86"/>
      <c r="H92" s="35"/>
      <c r="I92" s="36"/>
      <c r="J92" s="35"/>
    </row>
    <row r="93" spans="1:18" x14ac:dyDescent="0.3">
      <c r="A93" s="75"/>
      <c r="B93" s="75"/>
      <c r="C93" s="12"/>
      <c r="D93" s="12"/>
      <c r="E93" s="12"/>
      <c r="F93" s="87"/>
      <c r="G93" s="87"/>
      <c r="J93" s="13"/>
    </row>
    <row r="94" spans="1:18" s="112" customFormat="1" ht="48.95" customHeight="1" x14ac:dyDescent="0.2"/>
    <row r="95" spans="1:18" s="112" customFormat="1" ht="30" customHeight="1" x14ac:dyDescent="0.2"/>
    <row r="96" spans="1:18" s="112" customFormat="1" ht="30" customHeight="1" x14ac:dyDescent="0.2"/>
    <row r="97" spans="1:29" s="112" customFormat="1" ht="30" customHeight="1" x14ac:dyDescent="0.2"/>
    <row r="98" spans="1:29" s="112" customFormat="1" ht="30" customHeight="1" x14ac:dyDescent="0.2"/>
    <row r="99" spans="1:29" s="112" customFormat="1" ht="30" customHeight="1" x14ac:dyDescent="0.2"/>
    <row r="100" spans="1:29" s="112" customFormat="1" ht="30" customHeight="1" x14ac:dyDescent="0.2">
      <c r="AC100" s="327"/>
    </row>
    <row r="101" spans="1:29" s="112" customFormat="1" ht="30" customHeight="1" x14ac:dyDescent="0.2"/>
    <row r="102" spans="1:29" s="112" customFormat="1" ht="30" customHeight="1" x14ac:dyDescent="0.2"/>
    <row r="103" spans="1:29" s="112" customFormat="1" ht="48.95" customHeight="1" x14ac:dyDescent="0.2"/>
    <row r="104" spans="1:29" s="112" customFormat="1" ht="48.95" customHeight="1" x14ac:dyDescent="0.2"/>
    <row r="105" spans="1:29" s="112" customFormat="1" ht="30" customHeight="1" x14ac:dyDescent="0.2"/>
    <row r="106" spans="1:29" s="112" customFormat="1" ht="30" customHeight="1" x14ac:dyDescent="0.2"/>
    <row r="107" spans="1:29" s="112" customFormat="1" x14ac:dyDescent="0.2"/>
    <row r="108" spans="1:29" s="112" customFormat="1" ht="25.5" x14ac:dyDescent="0.2">
      <c r="A108" s="40"/>
      <c r="B108" s="48"/>
      <c r="C108" s="20"/>
      <c r="D108" s="20"/>
      <c r="E108" s="59"/>
      <c r="H108" s="19"/>
      <c r="I108" s="19"/>
      <c r="J108" s="19"/>
      <c r="O108" s="123"/>
    </row>
    <row r="109" spans="1:29" s="112" customFormat="1" ht="25.5" x14ac:dyDescent="0.2">
      <c r="A109" s="40"/>
      <c r="B109" s="48"/>
      <c r="C109" s="20"/>
      <c r="D109" s="20"/>
      <c r="E109" s="59"/>
      <c r="H109" s="19"/>
      <c r="I109" s="19"/>
      <c r="J109" s="19"/>
      <c r="O109" s="123"/>
    </row>
    <row r="110" spans="1:29" s="112" customFormat="1" ht="25.5" x14ac:dyDescent="0.2">
      <c r="A110" s="40"/>
      <c r="B110" s="48"/>
      <c r="C110" s="20"/>
      <c r="D110" s="20"/>
      <c r="E110" s="59"/>
      <c r="H110" s="19"/>
      <c r="I110" s="19"/>
      <c r="J110" s="19"/>
      <c r="O110" s="123"/>
    </row>
    <row r="111" spans="1:29" s="112" customFormat="1" ht="25.5" x14ac:dyDescent="0.2">
      <c r="A111" s="40"/>
      <c r="B111" s="48"/>
      <c r="C111" s="20"/>
      <c r="D111" s="20"/>
      <c r="E111" s="59"/>
      <c r="H111" s="19"/>
      <c r="I111" s="19"/>
      <c r="J111" s="19"/>
      <c r="O111" s="123"/>
    </row>
    <row r="112" spans="1:29" s="112" customFormat="1" ht="25.5" x14ac:dyDescent="0.2">
      <c r="A112" s="40"/>
      <c r="B112" s="48"/>
      <c r="C112" s="20"/>
      <c r="D112" s="20"/>
      <c r="E112" s="59"/>
      <c r="H112" s="19"/>
      <c r="I112" s="19"/>
      <c r="J112" s="19"/>
      <c r="O112" s="123"/>
    </row>
    <row r="113" spans="1:15" s="112" customFormat="1" ht="25.5" x14ac:dyDescent="0.2">
      <c r="A113" s="40"/>
      <c r="B113" s="48"/>
      <c r="C113" s="20"/>
      <c r="D113" s="20"/>
      <c r="E113" s="59"/>
      <c r="H113" s="19"/>
      <c r="I113" s="19"/>
      <c r="J113" s="19"/>
      <c r="O113" s="123"/>
    </row>
    <row r="114" spans="1:15" s="112" customFormat="1" ht="25.5" x14ac:dyDescent="0.2">
      <c r="A114" s="40"/>
      <c r="B114" s="48"/>
      <c r="C114" s="20"/>
      <c r="D114" s="20"/>
      <c r="E114" s="59"/>
      <c r="H114" s="19"/>
      <c r="I114" s="19"/>
      <c r="J114" s="19"/>
      <c r="O114" s="123"/>
    </row>
    <row r="115" spans="1:15" s="112" customFormat="1" ht="25.5" x14ac:dyDescent="0.2">
      <c r="A115" s="40"/>
      <c r="B115" s="48"/>
      <c r="C115" s="20"/>
      <c r="D115" s="20"/>
      <c r="E115" s="59"/>
      <c r="H115" s="19"/>
      <c r="I115" s="19"/>
      <c r="J115" s="19"/>
      <c r="O115" s="123"/>
    </row>
    <row r="116" spans="1:15" s="112" customFormat="1" ht="25.5" x14ac:dyDescent="0.2">
      <c r="A116" s="40"/>
      <c r="B116" s="48"/>
      <c r="C116" s="20"/>
      <c r="D116" s="20"/>
      <c r="E116" s="59"/>
      <c r="H116" s="19"/>
      <c r="I116" s="19"/>
      <c r="J116" s="19"/>
      <c r="O116" s="123"/>
    </row>
    <row r="117" spans="1:15" s="112" customFormat="1" ht="25.5" x14ac:dyDescent="0.2">
      <c r="A117" s="40"/>
      <c r="B117" s="48"/>
      <c r="C117" s="20"/>
      <c r="D117" s="20"/>
      <c r="E117" s="59"/>
      <c r="H117" s="19"/>
      <c r="I117" s="19"/>
      <c r="J117" s="19"/>
      <c r="O117" s="123"/>
    </row>
    <row r="118" spans="1:15" s="112" customFormat="1" ht="25.5" x14ac:dyDescent="0.2">
      <c r="A118" s="40"/>
      <c r="B118" s="48"/>
      <c r="C118" s="20"/>
      <c r="D118" s="20"/>
      <c r="E118" s="59"/>
      <c r="H118" s="19"/>
      <c r="I118" s="19"/>
      <c r="J118" s="19"/>
      <c r="O118" s="123"/>
    </row>
    <row r="119" spans="1:15" s="112" customFormat="1" ht="25.5" x14ac:dyDescent="0.2">
      <c r="A119" s="40"/>
      <c r="B119" s="48"/>
      <c r="C119" s="20"/>
      <c r="D119" s="20"/>
      <c r="E119" s="59"/>
      <c r="H119" s="19"/>
      <c r="I119" s="19"/>
      <c r="J119" s="19"/>
      <c r="O119" s="123"/>
    </row>
    <row r="120" spans="1:15" s="112" customFormat="1" ht="25.5" x14ac:dyDescent="0.2">
      <c r="A120" s="40"/>
      <c r="B120" s="48"/>
      <c r="C120" s="20"/>
      <c r="D120" s="20"/>
      <c r="E120" s="59"/>
      <c r="H120" s="19"/>
      <c r="I120" s="19"/>
      <c r="J120" s="19"/>
      <c r="O120" s="123"/>
    </row>
    <row r="121" spans="1:15" s="112" customFormat="1" ht="25.5" x14ac:dyDescent="0.2">
      <c r="A121" s="40"/>
      <c r="B121" s="48"/>
      <c r="C121" s="20"/>
      <c r="D121" s="20"/>
      <c r="E121" s="59"/>
      <c r="H121" s="19"/>
      <c r="I121" s="19"/>
      <c r="J121" s="19"/>
      <c r="O121" s="123"/>
    </row>
    <row r="122" spans="1:15" s="112" customFormat="1" ht="25.5" x14ac:dyDescent="0.2">
      <c r="A122" s="40"/>
      <c r="B122" s="48"/>
      <c r="C122" s="20"/>
      <c r="D122" s="20"/>
      <c r="E122" s="59"/>
      <c r="H122" s="19"/>
      <c r="I122" s="19"/>
      <c r="J122" s="19"/>
      <c r="O122" s="123"/>
    </row>
    <row r="123" spans="1:15" s="112" customFormat="1" ht="25.5" x14ac:dyDescent="0.2">
      <c r="A123" s="40"/>
      <c r="B123" s="48"/>
      <c r="C123" s="20"/>
      <c r="D123" s="20"/>
      <c r="E123" s="59"/>
      <c r="H123" s="19"/>
      <c r="I123" s="19"/>
      <c r="J123" s="19"/>
      <c r="O123" s="123"/>
    </row>
    <row r="124" spans="1:15" s="112" customFormat="1" ht="25.5" x14ac:dyDescent="0.2">
      <c r="A124" s="40"/>
      <c r="B124" s="48"/>
      <c r="C124" s="20"/>
      <c r="D124" s="20"/>
      <c r="E124" s="59"/>
      <c r="H124" s="19"/>
      <c r="I124" s="19"/>
      <c r="J124" s="19"/>
      <c r="O124" s="123"/>
    </row>
    <row r="125" spans="1:15" s="112" customFormat="1" ht="25.5" x14ac:dyDescent="0.2">
      <c r="A125" s="40"/>
      <c r="B125" s="48"/>
      <c r="C125" s="20"/>
      <c r="D125" s="20"/>
      <c r="E125" s="59"/>
      <c r="H125" s="19"/>
      <c r="I125" s="19"/>
      <c r="J125" s="19"/>
      <c r="O125" s="123"/>
    </row>
    <row r="126" spans="1:15" s="112" customFormat="1" ht="25.5" x14ac:dyDescent="0.2">
      <c r="A126" s="40"/>
      <c r="B126" s="48"/>
      <c r="C126" s="20"/>
      <c r="D126" s="20"/>
      <c r="E126" s="59"/>
      <c r="H126" s="19"/>
      <c r="I126" s="19"/>
      <c r="J126" s="19"/>
      <c r="O126" s="123"/>
    </row>
    <row r="127" spans="1:15" s="112" customFormat="1" ht="25.5" x14ac:dyDescent="0.2">
      <c r="A127" s="40"/>
      <c r="B127" s="48"/>
      <c r="C127" s="20"/>
      <c r="D127" s="20"/>
      <c r="E127" s="59"/>
      <c r="H127" s="19"/>
      <c r="I127" s="19"/>
      <c r="J127" s="19"/>
      <c r="O127" s="123"/>
    </row>
    <row r="128" spans="1:15" s="112" customFormat="1" ht="25.5" x14ac:dyDescent="0.2">
      <c r="A128" s="40"/>
      <c r="B128" s="48"/>
      <c r="C128" s="20"/>
      <c r="D128" s="20"/>
      <c r="E128" s="59"/>
      <c r="H128" s="19"/>
      <c r="I128" s="19"/>
      <c r="J128" s="19"/>
      <c r="O128" s="123"/>
    </row>
    <row r="129" spans="1:15" s="112" customFormat="1" ht="25.5" x14ac:dyDescent="0.2">
      <c r="A129" s="40"/>
      <c r="B129" s="48"/>
      <c r="C129" s="20"/>
      <c r="D129" s="20"/>
      <c r="E129" s="59"/>
      <c r="H129" s="19"/>
      <c r="I129" s="19"/>
      <c r="J129" s="19"/>
      <c r="O129" s="123"/>
    </row>
    <row r="130" spans="1:15" s="112" customFormat="1" ht="25.5" x14ac:dyDescent="0.2">
      <c r="A130" s="40"/>
      <c r="B130" s="48"/>
      <c r="C130" s="20"/>
      <c r="D130" s="20"/>
      <c r="E130" s="59"/>
      <c r="H130" s="19"/>
      <c r="I130" s="19"/>
      <c r="J130" s="19"/>
      <c r="O130" s="123"/>
    </row>
    <row r="131" spans="1:15" s="112" customFormat="1" ht="25.5" x14ac:dyDescent="0.2">
      <c r="A131" s="40"/>
      <c r="B131" s="48"/>
      <c r="C131" s="20"/>
      <c r="D131" s="20"/>
      <c r="E131" s="59"/>
      <c r="H131" s="19"/>
      <c r="I131" s="19"/>
      <c r="J131" s="19"/>
      <c r="O131" s="123"/>
    </row>
    <row r="132" spans="1:15" s="112" customFormat="1" ht="25.5" x14ac:dyDescent="0.2">
      <c r="A132" s="40"/>
      <c r="B132" s="48"/>
      <c r="C132" s="20"/>
      <c r="D132" s="20"/>
      <c r="E132" s="59"/>
      <c r="H132" s="19"/>
      <c r="I132" s="19"/>
      <c r="J132" s="19"/>
      <c r="O132" s="123"/>
    </row>
    <row r="133" spans="1:15" s="112" customFormat="1" ht="25.5" x14ac:dyDescent="0.2">
      <c r="A133" s="40"/>
      <c r="B133" s="48"/>
      <c r="C133" s="20"/>
      <c r="D133" s="20"/>
      <c r="E133" s="59"/>
      <c r="H133" s="19"/>
      <c r="I133" s="19"/>
      <c r="J133" s="19"/>
      <c r="O133" s="123"/>
    </row>
    <row r="134" spans="1:15" s="112" customFormat="1" ht="25.5" x14ac:dyDescent="0.2">
      <c r="A134" s="40"/>
      <c r="B134" s="48"/>
      <c r="C134" s="20"/>
      <c r="D134" s="20"/>
      <c r="E134" s="59"/>
      <c r="H134" s="19"/>
      <c r="I134" s="19"/>
      <c r="J134" s="19"/>
      <c r="O134" s="123"/>
    </row>
    <row r="135" spans="1:15" s="112" customFormat="1" ht="25.5" x14ac:dyDescent="0.2">
      <c r="A135" s="40"/>
      <c r="B135" s="48"/>
      <c r="C135" s="20"/>
      <c r="D135" s="20"/>
      <c r="E135" s="59"/>
      <c r="H135" s="19"/>
      <c r="I135" s="19"/>
      <c r="J135" s="19"/>
      <c r="O135" s="123"/>
    </row>
    <row r="136" spans="1:15" ht="24" thickBot="1" x14ac:dyDescent="0.4">
      <c r="A136" s="40"/>
      <c r="B136" s="588" t="s">
        <v>41</v>
      </c>
      <c r="C136" s="588"/>
      <c r="D136" s="588"/>
      <c r="E136" s="588"/>
      <c r="F136" s="588"/>
      <c r="G136" s="588"/>
      <c r="H136" s="588"/>
      <c r="I136" s="588"/>
      <c r="J136" s="49"/>
      <c r="O136" s="126"/>
    </row>
    <row r="137" spans="1:15" ht="23.25" x14ac:dyDescent="0.3">
      <c r="A137" s="40"/>
      <c r="B137" s="589" t="s">
        <v>7</v>
      </c>
      <c r="C137" s="589"/>
      <c r="D137" s="589"/>
      <c r="E137" s="589"/>
      <c r="F137" s="589"/>
      <c r="G137" s="589"/>
      <c r="H137" s="589"/>
      <c r="I137" s="589"/>
      <c r="J137" s="49"/>
      <c r="O137" s="126"/>
    </row>
    <row r="138" spans="1:15" ht="23.25" x14ac:dyDescent="0.35">
      <c r="A138" s="40"/>
      <c r="B138" s="590" t="s">
        <v>8</v>
      </c>
      <c r="C138" s="590"/>
      <c r="D138" s="590"/>
      <c r="E138" s="590"/>
      <c r="F138" s="590"/>
      <c r="G138" s="590"/>
      <c r="H138" s="590"/>
      <c r="I138" s="590"/>
      <c r="J138" s="147"/>
      <c r="O138" s="126"/>
    </row>
    <row r="139" spans="1:15" ht="23.25" x14ac:dyDescent="0.35">
      <c r="A139" s="40"/>
      <c r="B139" s="590" t="s">
        <v>9</v>
      </c>
      <c r="C139" s="590"/>
      <c r="D139" s="590"/>
      <c r="E139" s="590"/>
      <c r="F139" s="590"/>
      <c r="G139" s="590"/>
      <c r="H139" s="590"/>
      <c r="I139" s="590"/>
      <c r="J139" s="50"/>
      <c r="O139" s="126"/>
    </row>
    <row r="140" spans="1:15" ht="23.25" x14ac:dyDescent="0.35">
      <c r="A140" s="40"/>
      <c r="B140" s="147"/>
      <c r="C140" s="147"/>
      <c r="D140" s="147"/>
      <c r="E140" s="147"/>
      <c r="F140" s="147"/>
      <c r="G140" s="147"/>
      <c r="H140" s="147"/>
      <c r="I140" s="147"/>
      <c r="J140" s="50"/>
      <c r="O140" s="126"/>
    </row>
    <row r="141" spans="1:15" ht="23.25" x14ac:dyDescent="0.35">
      <c r="A141" s="40"/>
      <c r="B141" s="51"/>
      <c r="C141" s="51"/>
      <c r="D141" s="51"/>
      <c r="E141" s="51"/>
      <c r="F141" s="51"/>
      <c r="G141" s="51"/>
      <c r="H141" s="51"/>
      <c r="I141" s="51"/>
      <c r="J141" s="52"/>
      <c r="O141" s="126"/>
    </row>
    <row r="142" spans="1:15" x14ac:dyDescent="0.3">
      <c r="O142" s="126"/>
    </row>
    <row r="143" spans="1:15" x14ac:dyDescent="0.3">
      <c r="O143" s="126"/>
    </row>
  </sheetData>
  <mergeCells count="19">
    <mergeCell ref="B139:I139"/>
    <mergeCell ref="B78:I78"/>
    <mergeCell ref="A86:J86"/>
    <mergeCell ref="A87:J87"/>
    <mergeCell ref="B136:I136"/>
    <mergeCell ref="B137:I137"/>
    <mergeCell ref="B138:I138"/>
    <mergeCell ref="B77:I77"/>
    <mergeCell ref="Z26:AB26"/>
    <mergeCell ref="Z40:AB40"/>
    <mergeCell ref="AB34:AC34"/>
    <mergeCell ref="AB36:AC36"/>
    <mergeCell ref="Z55:AB55"/>
    <mergeCell ref="A10:J10"/>
    <mergeCell ref="A11:J11"/>
    <mergeCell ref="B75:I75"/>
    <mergeCell ref="B76:I76"/>
    <mergeCell ref="Z49:AB49"/>
    <mergeCell ref="AA43:AB43"/>
  </mergeCells>
  <printOptions horizontalCentered="1"/>
  <pageMargins left="0.15748031496062992" right="0.15748031496062992" top="0.27559055118110237" bottom="0.23622047244094491" header="0" footer="0"/>
  <pageSetup scale="4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zoomScale="50" zoomScaleNormal="50" zoomScalePageLayoutView="75" workbookViewId="0">
      <selection activeCell="C19" sqref="C19"/>
    </sheetView>
  </sheetViews>
  <sheetFormatPr baseColWidth="10" defaultRowHeight="21.75" x14ac:dyDescent="0.3"/>
  <cols>
    <col min="1" max="1" width="21.140625" style="337" customWidth="1"/>
    <col min="2" max="2" width="28" style="337" customWidth="1"/>
    <col min="3" max="3" width="21.5703125" style="338" customWidth="1"/>
    <col min="4" max="4" width="25.28515625" style="338" customWidth="1"/>
    <col min="5" max="5" width="49.140625" style="338" customWidth="1"/>
    <col min="6" max="6" width="27.28515625" style="337" customWidth="1"/>
    <col min="7" max="7" width="33.28515625" style="337" customWidth="1"/>
    <col min="8" max="8" width="27.140625" style="339" customWidth="1"/>
    <col min="9" max="9" width="31.28515625" style="340" customWidth="1"/>
    <col min="10" max="10" width="23.140625" style="341" customWidth="1"/>
    <col min="11" max="13" width="20.7109375" style="342" hidden="1" customWidth="1"/>
    <col min="14" max="15" width="20.7109375" style="343" hidden="1" customWidth="1"/>
    <col min="16" max="17" width="23.42578125" style="343" hidden="1" customWidth="1"/>
    <col min="18" max="18" width="21.28515625" style="343" hidden="1" customWidth="1"/>
    <col min="19" max="19" width="11.42578125" style="343" hidden="1" customWidth="1"/>
    <col min="20" max="20" width="32" style="343" hidden="1" customWidth="1"/>
    <col min="21" max="21" width="23.7109375" style="343" hidden="1" customWidth="1"/>
    <col min="22" max="22" width="21.42578125" style="343" hidden="1" customWidth="1"/>
    <col min="23" max="23" width="22.85546875" style="343" hidden="1" customWidth="1"/>
    <col min="24" max="24" width="11.42578125" style="343" customWidth="1"/>
    <col min="25" max="25" width="17.42578125" style="343" customWidth="1"/>
    <col min="26" max="28" width="11.42578125" style="343" customWidth="1"/>
    <col min="29" max="34" width="27.42578125" style="343" customWidth="1"/>
    <col min="35" max="16384" width="11.42578125" style="343"/>
  </cols>
  <sheetData>
    <row r="1" spans="1:26" ht="30.75" customHeight="1" x14ac:dyDescent="0.3"/>
    <row r="2" spans="1:26" s="352" customFormat="1" ht="24.95" customHeight="1" x14ac:dyDescent="0.35">
      <c r="A2" s="344" t="s">
        <v>4</v>
      </c>
      <c r="B2" s="345"/>
      <c r="C2" s="346"/>
      <c r="D2" s="346"/>
      <c r="E2" s="347"/>
      <c r="F2" s="348"/>
      <c r="G2" s="348"/>
      <c r="H2" s="349"/>
      <c r="I2" s="350"/>
      <c r="J2" s="351"/>
      <c r="K2" s="342"/>
      <c r="L2" s="342"/>
      <c r="M2" s="342"/>
    </row>
    <row r="3" spans="1:26" s="352" customFormat="1" ht="24.95" customHeight="1" x14ac:dyDescent="0.35">
      <c r="A3" s="344" t="s">
        <v>5</v>
      </c>
      <c r="B3" s="345"/>
      <c r="C3" s="346"/>
      <c r="D3" s="346"/>
      <c r="E3" s="353"/>
      <c r="F3" s="348"/>
      <c r="G3" s="348"/>
      <c r="H3" s="349"/>
      <c r="I3" s="354"/>
      <c r="J3" s="351"/>
      <c r="K3" s="342"/>
      <c r="L3" s="342"/>
      <c r="M3" s="342"/>
    </row>
    <row r="4" spans="1:26" s="352" customFormat="1" ht="23.25" x14ac:dyDescent="0.35">
      <c r="A4" s="345"/>
      <c r="B4" s="345"/>
      <c r="C4" s="346"/>
      <c r="D4" s="346"/>
      <c r="E4" s="353"/>
      <c r="F4" s="348"/>
      <c r="G4" s="348"/>
      <c r="H4" s="349"/>
      <c r="I4" s="354"/>
      <c r="J4" s="351"/>
      <c r="K4" s="342"/>
      <c r="L4" s="342"/>
      <c r="M4" s="342"/>
    </row>
    <row r="5" spans="1:26" s="352" customFormat="1" ht="30" customHeight="1" x14ac:dyDescent="0.35">
      <c r="A5" s="596" t="s">
        <v>139</v>
      </c>
      <c r="B5" s="596"/>
      <c r="C5" s="596"/>
      <c r="D5" s="596"/>
      <c r="E5" s="596"/>
      <c r="F5" s="596"/>
      <c r="G5" s="596"/>
      <c r="H5" s="596"/>
      <c r="I5" s="596"/>
      <c r="J5" s="596"/>
      <c r="K5" s="342"/>
      <c r="L5" s="342"/>
      <c r="M5" s="342"/>
    </row>
    <row r="6" spans="1:26" s="352" customFormat="1" ht="30" customHeight="1" x14ac:dyDescent="0.35">
      <c r="A6" s="596" t="s">
        <v>10</v>
      </c>
      <c r="B6" s="596"/>
      <c r="C6" s="596"/>
      <c r="D6" s="596"/>
      <c r="E6" s="596"/>
      <c r="F6" s="596"/>
      <c r="G6" s="596"/>
      <c r="H6" s="596"/>
      <c r="I6" s="596"/>
      <c r="J6" s="596"/>
      <c r="K6" s="342"/>
      <c r="L6" s="342"/>
      <c r="M6" s="342"/>
    </row>
    <row r="7" spans="1:26" s="352" customFormat="1" ht="30" customHeight="1" x14ac:dyDescent="0.35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42"/>
      <c r="L7" s="342"/>
      <c r="M7" s="342"/>
    </row>
    <row r="8" spans="1:26" s="352" customFormat="1" ht="23.25" x14ac:dyDescent="0.35">
      <c r="A8" s="345"/>
      <c r="B8" s="345"/>
      <c r="C8" s="356"/>
      <c r="D8" s="356"/>
      <c r="E8" s="348"/>
      <c r="F8" s="348"/>
      <c r="G8" s="348"/>
      <c r="H8" s="357"/>
      <c r="I8" s="358"/>
      <c r="J8" s="348"/>
      <c r="K8" s="342"/>
      <c r="L8" s="342"/>
      <c r="M8" s="342"/>
    </row>
    <row r="9" spans="1:26" s="352" customFormat="1" ht="41.25" customHeight="1" thickBot="1" x14ac:dyDescent="0.4">
      <c r="A9" s="359" t="s">
        <v>3</v>
      </c>
      <c r="B9" s="360"/>
      <c r="C9" s="361"/>
      <c r="D9" s="361"/>
      <c r="E9" s="346"/>
      <c r="F9" s="362"/>
      <c r="G9" s="362"/>
      <c r="H9" s="363"/>
      <c r="I9" s="364"/>
      <c r="J9" s="365"/>
      <c r="K9" s="342"/>
      <c r="L9" s="342"/>
      <c r="M9" s="342"/>
    </row>
    <row r="10" spans="1:26" ht="67.5" customHeight="1" thickBot="1" x14ac:dyDescent="0.35">
      <c r="F10" s="366"/>
      <c r="G10" s="366"/>
      <c r="K10" s="367"/>
      <c r="L10" s="367"/>
      <c r="M10" s="367"/>
      <c r="N10" s="368" t="s">
        <v>85</v>
      </c>
      <c r="O10" s="368" t="s">
        <v>84</v>
      </c>
      <c r="P10" s="368" t="s">
        <v>78</v>
      </c>
      <c r="Q10" s="368" t="s">
        <v>79</v>
      </c>
      <c r="R10" s="368" t="s">
        <v>44</v>
      </c>
    </row>
    <row r="11" spans="1:26" s="374" customFormat="1" ht="102.75" customHeight="1" thickTop="1" thickBot="1" x14ac:dyDescent="0.35">
      <c r="A11" s="369" t="s">
        <v>6</v>
      </c>
      <c r="B11" s="370" t="s">
        <v>0</v>
      </c>
      <c r="C11" s="370" t="s">
        <v>11</v>
      </c>
      <c r="D11" s="370" t="s">
        <v>45</v>
      </c>
      <c r="E11" s="370" t="s">
        <v>1</v>
      </c>
      <c r="F11" s="370" t="s">
        <v>16</v>
      </c>
      <c r="G11" s="370" t="s">
        <v>17</v>
      </c>
      <c r="H11" s="371" t="s">
        <v>15</v>
      </c>
      <c r="I11" s="371" t="s">
        <v>140</v>
      </c>
      <c r="J11" s="372" t="s">
        <v>12</v>
      </c>
      <c r="K11" s="342"/>
      <c r="L11" s="342"/>
      <c r="M11" s="342"/>
      <c r="N11" s="373" t="s">
        <v>87</v>
      </c>
      <c r="O11" s="373" t="s">
        <v>86</v>
      </c>
    </row>
    <row r="12" spans="1:26" s="382" customFormat="1" ht="55.5" customHeight="1" thickTop="1" x14ac:dyDescent="0.35">
      <c r="A12" s="528">
        <v>1</v>
      </c>
      <c r="B12" s="529" t="s">
        <v>39</v>
      </c>
      <c r="C12" s="530">
        <v>35767</v>
      </c>
      <c r="D12" s="530" t="s">
        <v>54</v>
      </c>
      <c r="E12" s="531" t="s">
        <v>29</v>
      </c>
      <c r="F12" s="532" t="s">
        <v>18</v>
      </c>
      <c r="G12" s="532" t="s">
        <v>19</v>
      </c>
      <c r="H12" s="533">
        <v>373714.28</v>
      </c>
      <c r="I12" s="533">
        <v>336342.85</v>
      </c>
      <c r="J12" s="534">
        <f>ROUNDUP((H12-I12),2)</f>
        <v>37371.440000000002</v>
      </c>
      <c r="K12" s="342"/>
      <c r="N12" s="383"/>
    </row>
    <row r="13" spans="1:26" s="391" customFormat="1" ht="38.1" customHeight="1" x14ac:dyDescent="0.3">
      <c r="A13" s="535">
        <v>1</v>
      </c>
      <c r="B13" s="536" t="s">
        <v>38</v>
      </c>
      <c r="C13" s="537">
        <v>37974</v>
      </c>
      <c r="D13" s="537" t="s">
        <v>55</v>
      </c>
      <c r="E13" s="538" t="s">
        <v>2</v>
      </c>
      <c r="F13" s="539" t="s">
        <v>21</v>
      </c>
      <c r="G13" s="539" t="s">
        <v>22</v>
      </c>
      <c r="H13" s="540">
        <v>342907.75</v>
      </c>
      <c r="I13" s="540">
        <v>308616.98</v>
      </c>
      <c r="J13" s="541">
        <f t="shared" ref="J13:J18" si="0">ROUNDUP((H13-I13),2)</f>
        <v>34290.769999999997</v>
      </c>
      <c r="K13" s="342"/>
    </row>
    <row r="14" spans="1:26" s="391" customFormat="1" ht="38.1" customHeight="1" x14ac:dyDescent="0.3">
      <c r="A14" s="535">
        <v>1</v>
      </c>
      <c r="B14" s="536" t="s">
        <v>38</v>
      </c>
      <c r="C14" s="537">
        <v>37974</v>
      </c>
      <c r="D14" s="537" t="s">
        <v>56</v>
      </c>
      <c r="E14" s="538" t="s">
        <v>2</v>
      </c>
      <c r="F14" s="539" t="s">
        <v>21</v>
      </c>
      <c r="G14" s="539" t="s">
        <v>22</v>
      </c>
      <c r="H14" s="540">
        <v>342907.75</v>
      </c>
      <c r="I14" s="540">
        <v>308616.98</v>
      </c>
      <c r="J14" s="541">
        <f t="shared" si="0"/>
        <v>34290.769999999997</v>
      </c>
      <c r="K14" s="342"/>
      <c r="Z14" s="392" t="s">
        <v>126</v>
      </c>
    </row>
    <row r="15" spans="1:26" s="391" customFormat="1" ht="38.1" customHeight="1" x14ac:dyDescent="0.3">
      <c r="A15" s="535">
        <v>1</v>
      </c>
      <c r="B15" s="536" t="s">
        <v>36</v>
      </c>
      <c r="C15" s="537">
        <v>39898</v>
      </c>
      <c r="D15" s="537" t="s">
        <v>57</v>
      </c>
      <c r="E15" s="538" t="s">
        <v>33</v>
      </c>
      <c r="F15" s="542" t="s">
        <v>20</v>
      </c>
      <c r="G15" s="543" t="s">
        <v>27</v>
      </c>
      <c r="H15" s="540">
        <v>525377</v>
      </c>
      <c r="I15" s="540">
        <v>472839.3</v>
      </c>
      <c r="J15" s="541">
        <f t="shared" si="0"/>
        <v>52537.7</v>
      </c>
      <c r="K15" s="342"/>
    </row>
    <row r="16" spans="1:26" s="391" customFormat="1" ht="38.1" customHeight="1" x14ac:dyDescent="0.3">
      <c r="A16" s="535">
        <v>1</v>
      </c>
      <c r="B16" s="536" t="s">
        <v>36</v>
      </c>
      <c r="C16" s="537">
        <v>39898</v>
      </c>
      <c r="D16" s="537" t="s">
        <v>57</v>
      </c>
      <c r="E16" s="538" t="s">
        <v>33</v>
      </c>
      <c r="F16" s="542" t="s">
        <v>20</v>
      </c>
      <c r="G16" s="543" t="s">
        <v>27</v>
      </c>
      <c r="H16" s="540">
        <v>525377</v>
      </c>
      <c r="I16" s="540">
        <v>472839.3</v>
      </c>
      <c r="J16" s="541">
        <f t="shared" si="0"/>
        <v>52537.7</v>
      </c>
      <c r="K16" s="342"/>
    </row>
    <row r="17" spans="1:31" s="391" customFormat="1" ht="36" hidden="1" customHeight="1" x14ac:dyDescent="0.3">
      <c r="A17" s="395">
        <v>1</v>
      </c>
      <c r="B17" s="396" t="s">
        <v>40</v>
      </c>
      <c r="C17" s="397">
        <v>40543</v>
      </c>
      <c r="D17" s="397"/>
      <c r="E17" s="398" t="s">
        <v>32</v>
      </c>
      <c r="F17" s="94" t="s">
        <v>28</v>
      </c>
      <c r="G17" s="94" t="s">
        <v>23</v>
      </c>
      <c r="H17" s="399">
        <v>64059.07</v>
      </c>
      <c r="I17" s="400">
        <v>43239.87</v>
      </c>
      <c r="J17" s="401">
        <f t="shared" si="0"/>
        <v>20819.2</v>
      </c>
      <c r="K17" s="342"/>
    </row>
    <row r="18" spans="1:31" s="391" customFormat="1" ht="36" hidden="1" customHeight="1" x14ac:dyDescent="0.3">
      <c r="A18" s="395">
        <v>1</v>
      </c>
      <c r="B18" s="396" t="s">
        <v>40</v>
      </c>
      <c r="C18" s="397">
        <v>40543</v>
      </c>
      <c r="D18" s="397"/>
      <c r="E18" s="398" t="s">
        <v>32</v>
      </c>
      <c r="F18" s="94" t="s">
        <v>28</v>
      </c>
      <c r="G18" s="94" t="s">
        <v>23</v>
      </c>
      <c r="H18" s="399">
        <v>64059.07</v>
      </c>
      <c r="I18" s="400">
        <v>43239.87</v>
      </c>
      <c r="J18" s="401">
        <f t="shared" si="0"/>
        <v>20819.2</v>
      </c>
      <c r="K18" s="342"/>
    </row>
    <row r="19" spans="1:31" s="412" customFormat="1" ht="38.1" customHeight="1" x14ac:dyDescent="0.3">
      <c r="A19" s="402">
        <v>1</v>
      </c>
      <c r="B19" s="403" t="s">
        <v>129</v>
      </c>
      <c r="C19" s="404">
        <v>42748</v>
      </c>
      <c r="D19" s="405" t="s">
        <v>90</v>
      </c>
      <c r="E19" s="405" t="s">
        <v>93</v>
      </c>
      <c r="F19" s="403" t="s">
        <v>88</v>
      </c>
      <c r="G19" s="403" t="s">
        <v>89</v>
      </c>
      <c r="H19" s="406">
        <v>23573.759999999998</v>
      </c>
      <c r="I19" s="406">
        <f>'[3]Depreciación ORIGINAL '!V7</f>
        <v>2051.885904657534</v>
      </c>
      <c r="J19" s="407">
        <f>ROUNDUP((H19-I19),2)</f>
        <v>21521.879999999997</v>
      </c>
      <c r="K19" s="342">
        <f>H19*10%</f>
        <v>2357.3759999999997</v>
      </c>
      <c r="L19" s="342">
        <f>H19-K19</f>
        <v>21216.383999999998</v>
      </c>
      <c r="M19" s="342">
        <f>L19*10%</f>
        <v>2121.6383999999998</v>
      </c>
      <c r="N19" s="408">
        <f>M19/365</f>
        <v>5.8127079452054788</v>
      </c>
      <c r="O19" s="409">
        <f>19+28+31+30+31+30</f>
        <v>169</v>
      </c>
      <c r="P19" s="408">
        <f>N19*O19</f>
        <v>982.34764273972587</v>
      </c>
      <c r="Q19" s="410">
        <v>23120.37</v>
      </c>
      <c r="R19" s="411">
        <f>Q19-P19</f>
        <v>22138.022357260274</v>
      </c>
      <c r="T19" s="413"/>
      <c r="Y19" s="414"/>
      <c r="Z19" s="604" t="s">
        <v>122</v>
      </c>
      <c r="AA19" s="604"/>
      <c r="AB19" s="604"/>
    </row>
    <row r="20" spans="1:31" s="544" customFormat="1" ht="27" customHeight="1" x14ac:dyDescent="0.2">
      <c r="B20" s="545"/>
      <c r="C20" s="546"/>
      <c r="D20" s="546"/>
      <c r="E20" s="547"/>
      <c r="F20" s="548"/>
      <c r="G20" s="548"/>
      <c r="H20" s="549"/>
      <c r="I20" s="550"/>
      <c r="J20" s="549"/>
      <c r="K20" s="551"/>
      <c r="L20" s="551"/>
      <c r="M20" s="551"/>
      <c r="N20" s="552"/>
      <c r="O20" s="552"/>
      <c r="P20" s="553"/>
      <c r="Q20" s="553"/>
      <c r="R20" s="553"/>
    </row>
    <row r="21" spans="1:31" s="544" customFormat="1" ht="27" customHeight="1" x14ac:dyDescent="0.2">
      <c r="B21" s="545"/>
      <c r="C21" s="546"/>
      <c r="D21" s="546"/>
      <c r="E21" s="547"/>
      <c r="F21" s="548"/>
      <c r="G21" s="548"/>
      <c r="H21" s="576"/>
      <c r="I21" s="550"/>
      <c r="J21" s="576"/>
      <c r="K21" s="551"/>
      <c r="L21" s="551"/>
      <c r="M21" s="551"/>
      <c r="N21" s="552"/>
      <c r="O21" s="552"/>
      <c r="P21" s="553"/>
      <c r="Q21" s="553"/>
      <c r="R21" s="553"/>
    </row>
    <row r="22" spans="1:31" s="544" customFormat="1" ht="27" customHeight="1" x14ac:dyDescent="0.2">
      <c r="B22" s="545"/>
      <c r="C22" s="546"/>
      <c r="D22" s="546"/>
      <c r="E22" s="547"/>
      <c r="F22" s="548"/>
      <c r="G22" s="548"/>
      <c r="H22" s="549"/>
      <c r="I22" s="550"/>
      <c r="J22" s="549"/>
      <c r="K22" s="551"/>
      <c r="L22" s="551"/>
      <c r="M22" s="551"/>
      <c r="N22" s="552"/>
      <c r="O22" s="552"/>
      <c r="P22" s="553"/>
      <c r="Q22" s="553"/>
      <c r="R22" s="553"/>
    </row>
    <row r="23" spans="1:31" ht="30" customHeight="1" x14ac:dyDescent="0.35">
      <c r="A23" s="554" t="s">
        <v>66</v>
      </c>
      <c r="B23" s="465"/>
      <c r="C23" s="466"/>
      <c r="D23" s="466"/>
      <c r="E23" s="349"/>
      <c r="F23" s="467"/>
      <c r="G23" s="467"/>
      <c r="H23" s="363"/>
      <c r="I23" s="364"/>
      <c r="J23" s="363"/>
      <c r="K23" s="468"/>
      <c r="L23" s="343"/>
      <c r="M23" s="343"/>
      <c r="O23" s="440"/>
      <c r="AB23" s="593"/>
      <c r="AC23" s="593"/>
    </row>
    <row r="24" spans="1:31" ht="30" customHeight="1" x14ac:dyDescent="0.35">
      <c r="A24" s="464"/>
      <c r="B24" s="465"/>
      <c r="C24" s="466"/>
      <c r="D24" s="466"/>
      <c r="E24" s="349"/>
      <c r="F24" s="467"/>
      <c r="G24" s="467"/>
      <c r="H24" s="363"/>
      <c r="I24" s="364"/>
      <c r="J24" s="363"/>
      <c r="K24" s="468"/>
      <c r="L24" s="343"/>
      <c r="M24" s="343"/>
      <c r="O24" s="440"/>
      <c r="AB24" s="593"/>
      <c r="AC24" s="593"/>
    </row>
    <row r="25" spans="1:31" ht="22.5" thickBot="1" x14ac:dyDescent="0.35">
      <c r="A25" s="454"/>
      <c r="B25" s="454"/>
      <c r="C25" s="339"/>
      <c r="D25" s="339"/>
      <c r="E25" s="339"/>
      <c r="F25" s="469"/>
      <c r="G25" s="469"/>
      <c r="J25" s="340"/>
      <c r="K25" s="468"/>
      <c r="L25" s="343"/>
      <c r="M25" s="343"/>
      <c r="O25" s="440"/>
    </row>
    <row r="26" spans="1:31" ht="88.5" thickTop="1" thickBot="1" x14ac:dyDescent="0.35">
      <c r="A26" s="470" t="s">
        <v>6</v>
      </c>
      <c r="B26" s="371" t="s">
        <v>0</v>
      </c>
      <c r="C26" s="371" t="s">
        <v>11</v>
      </c>
      <c r="D26" s="371" t="s">
        <v>45</v>
      </c>
      <c r="E26" s="371" t="s">
        <v>1</v>
      </c>
      <c r="F26" s="371" t="s">
        <v>16</v>
      </c>
      <c r="G26" s="371" t="s">
        <v>17</v>
      </c>
      <c r="H26" s="371" t="s">
        <v>15</v>
      </c>
      <c r="I26" s="371" t="s">
        <v>140</v>
      </c>
      <c r="J26" s="471" t="s">
        <v>12</v>
      </c>
      <c r="O26" s="440"/>
      <c r="AB26" s="593"/>
      <c r="AC26" s="593"/>
    </row>
    <row r="27" spans="1:31" s="479" customFormat="1" ht="34.5" customHeight="1" thickTop="1" x14ac:dyDescent="0.2">
      <c r="A27" s="555">
        <v>1</v>
      </c>
      <c r="B27" s="416" t="s">
        <v>37</v>
      </c>
      <c r="C27" s="417">
        <v>41334</v>
      </c>
      <c r="D27" s="417" t="s">
        <v>58</v>
      </c>
      <c r="E27" s="556" t="s">
        <v>34</v>
      </c>
      <c r="F27" s="420" t="s">
        <v>26</v>
      </c>
      <c r="G27" s="420" t="s">
        <v>30</v>
      </c>
      <c r="H27" s="557">
        <v>144307.78</v>
      </c>
      <c r="I27" s="557">
        <f>[4]septiembre!$I$69+P27</f>
        <v>34549.055593150682</v>
      </c>
      <c r="J27" s="421">
        <f>H27-I27</f>
        <v>109758.72440684932</v>
      </c>
      <c r="K27" s="474">
        <f>H27*10%</f>
        <v>14430.778</v>
      </c>
      <c r="L27" s="474">
        <f>H27-K27</f>
        <v>129877.00199999999</v>
      </c>
      <c r="M27" s="474">
        <f>L27*20%</f>
        <v>25975.400399999999</v>
      </c>
      <c r="N27" s="475">
        <f t="shared" ref="N27:N32" si="1">M27/12</f>
        <v>2164.6167</v>
      </c>
      <c r="O27" s="476">
        <v>3</v>
      </c>
      <c r="P27" s="475">
        <f>N27*O27</f>
        <v>6493.8500999999997</v>
      </c>
      <c r="Q27" s="477">
        <v>40406.11</v>
      </c>
      <c r="R27" s="478">
        <f>Q27-P27</f>
        <v>33912.259900000005</v>
      </c>
      <c r="T27" s="480">
        <v>40406.11</v>
      </c>
      <c r="U27" s="479">
        <f>25975.4*4</f>
        <v>103901.6</v>
      </c>
      <c r="V27" s="411">
        <f>P27+U27</f>
        <v>110395.4501</v>
      </c>
      <c r="AC27" s="481"/>
      <c r="AD27" s="482"/>
      <c r="AE27" s="482"/>
    </row>
    <row r="28" spans="1:31" s="479" customFormat="1" ht="34.5" customHeight="1" x14ac:dyDescent="0.2">
      <c r="A28" s="555">
        <v>1</v>
      </c>
      <c r="B28" s="416" t="s">
        <v>37</v>
      </c>
      <c r="C28" s="417">
        <v>41334</v>
      </c>
      <c r="D28" s="417" t="s">
        <v>58</v>
      </c>
      <c r="E28" s="556" t="s">
        <v>34</v>
      </c>
      <c r="F28" s="420" t="s">
        <v>26</v>
      </c>
      <c r="G28" s="420" t="s">
        <v>30</v>
      </c>
      <c r="H28" s="557">
        <v>144307.78</v>
      </c>
      <c r="I28" s="557">
        <f>[4]septiembre!$I$69+P28</f>
        <v>34549.055593150682</v>
      </c>
      <c r="J28" s="421">
        <f t="shared" ref="J28:J55" si="2">H28-I28</f>
        <v>109758.72440684932</v>
      </c>
      <c r="K28" s="474">
        <f t="shared" ref="K28:K55" si="3">H28*10%</f>
        <v>14430.778</v>
      </c>
      <c r="L28" s="474">
        <f t="shared" ref="L28:L55" si="4">H28-K28</f>
        <v>129877.00199999999</v>
      </c>
      <c r="M28" s="474">
        <f t="shared" ref="M28:M55" si="5">L28*20%</f>
        <v>25975.400399999999</v>
      </c>
      <c r="N28" s="475">
        <f t="shared" si="1"/>
        <v>2164.6167</v>
      </c>
      <c r="O28" s="476">
        <v>3</v>
      </c>
      <c r="P28" s="475">
        <f t="shared" ref="P28:P55" si="6">N28*O28</f>
        <v>6493.8500999999997</v>
      </c>
      <c r="Q28" s="477">
        <v>40406.11</v>
      </c>
      <c r="R28" s="478">
        <f t="shared" ref="R28:R55" si="7">Q28-P28</f>
        <v>33912.259900000005</v>
      </c>
      <c r="T28" s="480">
        <v>40406.11</v>
      </c>
      <c r="U28" s="479">
        <f>25975.4*4</f>
        <v>103901.6</v>
      </c>
      <c r="V28" s="411">
        <f>P28+U28</f>
        <v>110395.4501</v>
      </c>
      <c r="AC28" s="481"/>
      <c r="AD28" s="482"/>
      <c r="AE28" s="482"/>
    </row>
    <row r="29" spans="1:31" s="479" customFormat="1" ht="51" customHeight="1" x14ac:dyDescent="0.2">
      <c r="A29" s="558">
        <v>1</v>
      </c>
      <c r="B29" s="416" t="s">
        <v>35</v>
      </c>
      <c r="C29" s="417">
        <v>41611</v>
      </c>
      <c r="D29" s="417" t="s">
        <v>59</v>
      </c>
      <c r="E29" s="559" t="s">
        <v>31</v>
      </c>
      <c r="F29" s="560" t="s">
        <v>24</v>
      </c>
      <c r="G29" s="416" t="s">
        <v>25</v>
      </c>
      <c r="H29" s="557">
        <v>175817</v>
      </c>
      <c r="I29" s="557">
        <f>[4]septiembre!$I$71+P29</f>
        <v>13782.045821917807</v>
      </c>
      <c r="J29" s="421">
        <f t="shared" si="2"/>
        <v>162034.9541780822</v>
      </c>
      <c r="K29" s="474">
        <f t="shared" si="3"/>
        <v>17581.7</v>
      </c>
      <c r="L29" s="474">
        <f t="shared" si="4"/>
        <v>158235.29999999999</v>
      </c>
      <c r="M29" s="474">
        <f t="shared" si="5"/>
        <v>31647.059999999998</v>
      </c>
      <c r="N29" s="475">
        <f t="shared" si="1"/>
        <v>2637.2549999999997</v>
      </c>
      <c r="O29" s="476">
        <v>3</v>
      </c>
      <c r="P29" s="475">
        <f t="shared" si="6"/>
        <v>7911.7649999999994</v>
      </c>
      <c r="Q29" s="477">
        <v>70326.77</v>
      </c>
      <c r="R29" s="478">
        <f t="shared" si="7"/>
        <v>62415.005000000005</v>
      </c>
      <c r="T29" s="480">
        <v>70326.77</v>
      </c>
      <c r="U29" s="411">
        <f>M29*3</f>
        <v>94941.18</v>
      </c>
      <c r="V29" s="411">
        <f>6*N29</f>
        <v>15823.529999999999</v>
      </c>
      <c r="W29" s="411">
        <f>SUM(U29:V29)</f>
        <v>110764.70999999999</v>
      </c>
      <c r="AC29" s="481"/>
      <c r="AD29" s="482"/>
      <c r="AE29" s="482"/>
    </row>
    <row r="30" spans="1:31" s="479" customFormat="1" ht="51" customHeight="1" x14ac:dyDescent="0.2">
      <c r="A30" s="558">
        <v>1</v>
      </c>
      <c r="B30" s="416" t="s">
        <v>35</v>
      </c>
      <c r="C30" s="417">
        <v>41611</v>
      </c>
      <c r="D30" s="417" t="s">
        <v>59</v>
      </c>
      <c r="E30" s="559" t="s">
        <v>31</v>
      </c>
      <c r="F30" s="560" t="s">
        <v>24</v>
      </c>
      <c r="G30" s="416" t="s">
        <v>25</v>
      </c>
      <c r="H30" s="557">
        <v>175817</v>
      </c>
      <c r="I30" s="557">
        <f>[4]septiembre!$I$71+P30</f>
        <v>13782.045821917807</v>
      </c>
      <c r="J30" s="421">
        <f t="shared" si="2"/>
        <v>162034.9541780822</v>
      </c>
      <c r="K30" s="474">
        <f t="shared" si="3"/>
        <v>17581.7</v>
      </c>
      <c r="L30" s="474">
        <f t="shared" si="4"/>
        <v>158235.29999999999</v>
      </c>
      <c r="M30" s="474">
        <f t="shared" si="5"/>
        <v>31647.059999999998</v>
      </c>
      <c r="N30" s="475">
        <f t="shared" si="1"/>
        <v>2637.2549999999997</v>
      </c>
      <c r="O30" s="476">
        <v>3</v>
      </c>
      <c r="P30" s="475">
        <f t="shared" si="6"/>
        <v>7911.7649999999994</v>
      </c>
      <c r="Q30" s="477">
        <v>70326.77</v>
      </c>
      <c r="R30" s="478">
        <f t="shared" si="7"/>
        <v>62415.005000000005</v>
      </c>
      <c r="T30" s="480">
        <v>70326.77</v>
      </c>
      <c r="Z30" s="597" t="s">
        <v>123</v>
      </c>
      <c r="AA30" s="597"/>
      <c r="AB30" s="597"/>
      <c r="AC30" s="481"/>
      <c r="AD30" s="482"/>
      <c r="AE30" s="482"/>
    </row>
    <row r="31" spans="1:31" s="479" customFormat="1" ht="34.5" customHeight="1" x14ac:dyDescent="0.2">
      <c r="A31" s="558">
        <v>1</v>
      </c>
      <c r="B31" s="417" t="s">
        <v>35</v>
      </c>
      <c r="C31" s="417">
        <v>41611</v>
      </c>
      <c r="D31" s="417" t="s">
        <v>59</v>
      </c>
      <c r="E31" s="561" t="s">
        <v>14</v>
      </c>
      <c r="F31" s="560" t="s">
        <v>24</v>
      </c>
      <c r="G31" s="416" t="s">
        <v>25</v>
      </c>
      <c r="H31" s="557">
        <v>194901.5</v>
      </c>
      <c r="I31" s="557">
        <f>[4]septiembre!$I$73+P31</f>
        <v>14640.848321917809</v>
      </c>
      <c r="J31" s="421">
        <f t="shared" si="2"/>
        <v>180260.65167808218</v>
      </c>
      <c r="K31" s="474">
        <f t="shared" si="3"/>
        <v>19490.150000000001</v>
      </c>
      <c r="L31" s="474">
        <f t="shared" si="4"/>
        <v>175411.35</v>
      </c>
      <c r="M31" s="474">
        <f t="shared" si="5"/>
        <v>35082.270000000004</v>
      </c>
      <c r="N31" s="475">
        <f t="shared" si="1"/>
        <v>2923.5225000000005</v>
      </c>
      <c r="O31" s="476">
        <v>3</v>
      </c>
      <c r="P31" s="475">
        <f t="shared" si="6"/>
        <v>8770.567500000001</v>
      </c>
      <c r="Q31" s="477">
        <v>77960.62</v>
      </c>
      <c r="R31" s="478">
        <f t="shared" si="7"/>
        <v>69190.052499999991</v>
      </c>
      <c r="T31" s="480">
        <v>77960.62</v>
      </c>
      <c r="AC31" s="487"/>
    </row>
    <row r="32" spans="1:31" s="479" customFormat="1" ht="34.5" customHeight="1" x14ac:dyDescent="0.2">
      <c r="A32" s="558">
        <v>1</v>
      </c>
      <c r="B32" s="417" t="s">
        <v>35</v>
      </c>
      <c r="C32" s="417">
        <v>41611</v>
      </c>
      <c r="D32" s="417" t="s">
        <v>59</v>
      </c>
      <c r="E32" s="561" t="s">
        <v>14</v>
      </c>
      <c r="F32" s="560" t="s">
        <v>24</v>
      </c>
      <c r="G32" s="416" t="s">
        <v>25</v>
      </c>
      <c r="H32" s="557">
        <v>194901.5</v>
      </c>
      <c r="I32" s="557">
        <f>[4]septiembre!$I$74+P32</f>
        <v>14640.848321917809</v>
      </c>
      <c r="J32" s="421">
        <f t="shared" si="2"/>
        <v>180260.65167808218</v>
      </c>
      <c r="K32" s="474">
        <f t="shared" si="3"/>
        <v>19490.150000000001</v>
      </c>
      <c r="L32" s="474">
        <f t="shared" si="4"/>
        <v>175411.35</v>
      </c>
      <c r="M32" s="474">
        <f t="shared" si="5"/>
        <v>35082.270000000004</v>
      </c>
      <c r="N32" s="475">
        <f t="shared" si="1"/>
        <v>2923.5225000000005</v>
      </c>
      <c r="O32" s="476">
        <v>3</v>
      </c>
      <c r="P32" s="475">
        <f t="shared" si="6"/>
        <v>8770.567500000001</v>
      </c>
      <c r="Q32" s="477">
        <v>77960.62</v>
      </c>
      <c r="R32" s="478">
        <f t="shared" si="7"/>
        <v>69190.052499999991</v>
      </c>
      <c r="T32" s="480">
        <v>77960.62</v>
      </c>
    </row>
    <row r="33" spans="1:28" s="412" customFormat="1" ht="58.5" customHeight="1" x14ac:dyDescent="0.3">
      <c r="A33" s="558">
        <v>1</v>
      </c>
      <c r="B33" s="562" t="s">
        <v>42</v>
      </c>
      <c r="C33" s="417">
        <v>42143</v>
      </c>
      <c r="D33" s="417" t="s">
        <v>60</v>
      </c>
      <c r="E33" s="556" t="s">
        <v>13</v>
      </c>
      <c r="F33" s="333" t="s">
        <v>21</v>
      </c>
      <c r="G33" s="556" t="s">
        <v>43</v>
      </c>
      <c r="H33" s="557">
        <v>300236.52</v>
      </c>
      <c r="I33" s="420">
        <f>[4]septiembre!$I$75+P33</f>
        <v>19380.924221917809</v>
      </c>
      <c r="J33" s="421">
        <f t="shared" si="2"/>
        <v>280855.59577808221</v>
      </c>
      <c r="K33" s="474">
        <f t="shared" si="3"/>
        <v>30023.652000000002</v>
      </c>
      <c r="L33" s="474">
        <f t="shared" si="4"/>
        <v>270212.86800000002</v>
      </c>
      <c r="M33" s="474">
        <f t="shared" si="5"/>
        <v>54042.573600000003</v>
      </c>
      <c r="N33" s="475">
        <f>M33/12</f>
        <v>4503.5478000000003</v>
      </c>
      <c r="O33" s="476">
        <v>3</v>
      </c>
      <c r="P33" s="475">
        <f t="shared" si="6"/>
        <v>13510.643400000001</v>
      </c>
      <c r="Q33" s="477">
        <v>196654.92</v>
      </c>
      <c r="R33" s="478">
        <f t="shared" si="7"/>
        <v>183144.27660000001</v>
      </c>
      <c r="T33" s="490">
        <v>196654.92</v>
      </c>
      <c r="AA33" s="593"/>
      <c r="AB33" s="593"/>
    </row>
    <row r="34" spans="1:28" s="412" customFormat="1" ht="58.5" customHeight="1" x14ac:dyDescent="0.3">
      <c r="A34" s="558">
        <v>1</v>
      </c>
      <c r="B34" s="562" t="s">
        <v>42</v>
      </c>
      <c r="C34" s="417">
        <v>42143</v>
      </c>
      <c r="D34" s="417" t="s">
        <v>60</v>
      </c>
      <c r="E34" s="556" t="s">
        <v>13</v>
      </c>
      <c r="F34" s="333" t="s">
        <v>21</v>
      </c>
      <c r="G34" s="556" t="s">
        <v>43</v>
      </c>
      <c r="H34" s="557">
        <v>300236.52</v>
      </c>
      <c r="I34" s="420">
        <f>[4]septiembre!$I$76+P34</f>
        <v>19380.924221917809</v>
      </c>
      <c r="J34" s="421">
        <f t="shared" si="2"/>
        <v>280855.59577808221</v>
      </c>
      <c r="K34" s="474">
        <f t="shared" si="3"/>
        <v>30023.652000000002</v>
      </c>
      <c r="L34" s="474">
        <f t="shared" si="4"/>
        <v>270212.86800000002</v>
      </c>
      <c r="M34" s="474">
        <f t="shared" si="5"/>
        <v>54042.573600000003</v>
      </c>
      <c r="N34" s="475">
        <f>M34/12</f>
        <v>4503.5478000000003</v>
      </c>
      <c r="O34" s="476">
        <v>3</v>
      </c>
      <c r="P34" s="475">
        <f t="shared" si="6"/>
        <v>13510.643400000001</v>
      </c>
      <c r="Q34" s="477">
        <v>196654.92</v>
      </c>
      <c r="R34" s="478">
        <f t="shared" si="7"/>
        <v>183144.27660000001</v>
      </c>
      <c r="T34" s="490">
        <v>196654.92</v>
      </c>
    </row>
    <row r="35" spans="1:28" s="412" customFormat="1" ht="34.5" customHeight="1" x14ac:dyDescent="0.3">
      <c r="A35" s="563">
        <v>1</v>
      </c>
      <c r="B35" s="564" t="s">
        <v>65</v>
      </c>
      <c r="C35" s="417">
        <v>42461</v>
      </c>
      <c r="D35" s="417" t="s">
        <v>61</v>
      </c>
      <c r="E35" s="556" t="s">
        <v>2</v>
      </c>
      <c r="F35" s="333" t="s">
        <v>47</v>
      </c>
      <c r="G35" s="333" t="s">
        <v>46</v>
      </c>
      <c r="H35" s="420">
        <v>123606.55</v>
      </c>
      <c r="I35" s="420">
        <f>'[3]Depreciación ORIGINAL '!V12</f>
        <v>39012.259068493149</v>
      </c>
      <c r="J35" s="421">
        <f>H35-I35</f>
        <v>84594.290931506854</v>
      </c>
      <c r="K35" s="342">
        <f>H35*10%</f>
        <v>12360.655000000001</v>
      </c>
      <c r="L35" s="342">
        <f>H35-K35</f>
        <v>111245.895</v>
      </c>
      <c r="M35" s="342">
        <f>L35*20%</f>
        <v>22249.179000000004</v>
      </c>
      <c r="N35" s="408">
        <f>M35/365</f>
        <v>60.95665479452056</v>
      </c>
      <c r="O35" s="409">
        <f>30+31+30+365</f>
        <v>456</v>
      </c>
      <c r="P35" s="408">
        <f>N35*O35</f>
        <v>27796.234586301376</v>
      </c>
      <c r="Q35" s="410">
        <v>101357.45</v>
      </c>
      <c r="R35" s="411">
        <f>Q35-P35</f>
        <v>73561.215413698621</v>
      </c>
      <c r="T35" s="490">
        <v>101357.45</v>
      </c>
      <c r="Y35" s="498"/>
    </row>
    <row r="36" spans="1:28" s="479" customFormat="1" ht="51.95" customHeight="1" x14ac:dyDescent="0.3">
      <c r="A36" s="565">
        <v>1</v>
      </c>
      <c r="B36" s="564" t="s">
        <v>63</v>
      </c>
      <c r="C36" s="417">
        <v>42536</v>
      </c>
      <c r="D36" s="417" t="s">
        <v>64</v>
      </c>
      <c r="E36" s="328" t="s">
        <v>50</v>
      </c>
      <c r="F36" s="333" t="s">
        <v>48</v>
      </c>
      <c r="G36" s="333" t="s">
        <v>49</v>
      </c>
      <c r="H36" s="420">
        <v>105787.5</v>
      </c>
      <c r="I36" s="420">
        <f>'[3]Depreciación ORIGINAL '!V13</f>
        <v>29475.585616438355</v>
      </c>
      <c r="J36" s="421">
        <f>H36-I36</f>
        <v>76311.914383561641</v>
      </c>
      <c r="K36" s="342">
        <f t="shared" si="3"/>
        <v>10578.75</v>
      </c>
      <c r="L36" s="342">
        <f t="shared" si="4"/>
        <v>95208.75</v>
      </c>
      <c r="M36" s="342">
        <f t="shared" si="5"/>
        <v>19041.75</v>
      </c>
      <c r="N36" s="408">
        <v>52.167000000000002</v>
      </c>
      <c r="O36" s="409">
        <v>381</v>
      </c>
      <c r="P36" s="408">
        <f t="shared" si="6"/>
        <v>19875.627</v>
      </c>
      <c r="Q36" s="410">
        <v>90658.43</v>
      </c>
      <c r="R36" s="411">
        <f t="shared" si="7"/>
        <v>70782.802999999985</v>
      </c>
      <c r="T36" s="480">
        <v>90658.43</v>
      </c>
      <c r="Y36" s="498"/>
    </row>
    <row r="37" spans="1:28" s="479" customFormat="1" ht="51.95" customHeight="1" x14ac:dyDescent="0.3">
      <c r="A37" s="565">
        <v>1</v>
      </c>
      <c r="B37" s="564" t="s">
        <v>63</v>
      </c>
      <c r="C37" s="566">
        <v>42536</v>
      </c>
      <c r="D37" s="417" t="s">
        <v>64</v>
      </c>
      <c r="E37" s="328" t="s">
        <v>50</v>
      </c>
      <c r="F37" s="416" t="s">
        <v>48</v>
      </c>
      <c r="G37" s="416" t="s">
        <v>49</v>
      </c>
      <c r="H37" s="420">
        <v>105787.5</v>
      </c>
      <c r="I37" s="420">
        <f>'[3]Depreciación ORIGINAL '!V14</f>
        <v>29475.585616438355</v>
      </c>
      <c r="J37" s="421">
        <f t="shared" si="2"/>
        <v>76311.914383561641</v>
      </c>
      <c r="K37" s="342">
        <f t="shared" si="3"/>
        <v>10578.75</v>
      </c>
      <c r="L37" s="342">
        <f t="shared" si="4"/>
        <v>95208.75</v>
      </c>
      <c r="M37" s="342">
        <f t="shared" si="5"/>
        <v>19041.75</v>
      </c>
      <c r="N37" s="408">
        <f t="shared" ref="N37:N55" si="8">M37/365</f>
        <v>52.169178082191777</v>
      </c>
      <c r="O37" s="409">
        <v>381</v>
      </c>
      <c r="P37" s="408">
        <f t="shared" si="6"/>
        <v>19876.456849315065</v>
      </c>
      <c r="Q37" s="410">
        <v>90658.43</v>
      </c>
      <c r="R37" s="411">
        <f t="shared" si="7"/>
        <v>70781.973150684935</v>
      </c>
      <c r="T37" s="480">
        <v>90658.43</v>
      </c>
      <c r="X37" s="411"/>
      <c r="Y37" s="498"/>
    </row>
    <row r="38" spans="1:28" s="412" customFormat="1" ht="48.95" customHeight="1" x14ac:dyDescent="0.3">
      <c r="A38" s="567">
        <v>1</v>
      </c>
      <c r="B38" s="568" t="s">
        <v>62</v>
      </c>
      <c r="C38" s="329">
        <v>42550</v>
      </c>
      <c r="D38" s="569">
        <v>4416</v>
      </c>
      <c r="E38" s="330" t="s">
        <v>50</v>
      </c>
      <c r="F38" s="331" t="s">
        <v>21</v>
      </c>
      <c r="G38" s="331" t="s">
        <v>53</v>
      </c>
      <c r="H38" s="570">
        <v>88575.25</v>
      </c>
      <c r="I38" s="420">
        <f>'[3]Depreciación ORIGINAL '!V15</f>
        <v>24068.200808219182</v>
      </c>
      <c r="J38" s="421">
        <f t="shared" si="2"/>
        <v>64507.049191780818</v>
      </c>
      <c r="K38" s="342">
        <f t="shared" si="3"/>
        <v>8857.5249999999996</v>
      </c>
      <c r="L38" s="342">
        <f t="shared" si="4"/>
        <v>79717.725000000006</v>
      </c>
      <c r="M38" s="342">
        <f t="shared" si="5"/>
        <v>15943.545000000002</v>
      </c>
      <c r="N38" s="408">
        <f t="shared" si="8"/>
        <v>43.68094520547946</v>
      </c>
      <c r="O38" s="409">
        <v>367</v>
      </c>
      <c r="P38" s="408">
        <f t="shared" si="6"/>
        <v>16030.906890410963</v>
      </c>
      <c r="Q38" s="410">
        <v>76519.3</v>
      </c>
      <c r="R38" s="411">
        <f t="shared" si="7"/>
        <v>60488.393109589044</v>
      </c>
      <c r="T38" s="490">
        <v>76519.3</v>
      </c>
      <c r="X38" s="411"/>
      <c r="Y38" s="498"/>
    </row>
    <row r="39" spans="1:28" s="342" customFormat="1" ht="48.95" customHeight="1" x14ac:dyDescent="0.3">
      <c r="A39" s="565">
        <v>1</v>
      </c>
      <c r="B39" s="564" t="s">
        <v>62</v>
      </c>
      <c r="C39" s="329">
        <v>42550</v>
      </c>
      <c r="D39" s="418">
        <v>4416</v>
      </c>
      <c r="E39" s="328" t="s">
        <v>50</v>
      </c>
      <c r="F39" s="332" t="s">
        <v>21</v>
      </c>
      <c r="G39" s="332" t="s">
        <v>53</v>
      </c>
      <c r="H39" s="571">
        <v>88575.25</v>
      </c>
      <c r="I39" s="420">
        <f>'[3]Depreciación ORIGINAL '!V16</f>
        <v>24068.200808219182</v>
      </c>
      <c r="J39" s="421">
        <f t="shared" si="2"/>
        <v>64507.049191780818</v>
      </c>
      <c r="K39" s="342">
        <f t="shared" si="3"/>
        <v>8857.5249999999996</v>
      </c>
      <c r="L39" s="342">
        <f t="shared" si="4"/>
        <v>79717.725000000006</v>
      </c>
      <c r="M39" s="342">
        <f t="shared" si="5"/>
        <v>15943.545000000002</v>
      </c>
      <c r="N39" s="408">
        <f t="shared" si="8"/>
        <v>43.68094520547946</v>
      </c>
      <c r="O39" s="409">
        <v>367</v>
      </c>
      <c r="P39" s="408">
        <f t="shared" si="6"/>
        <v>16030.906890410963</v>
      </c>
      <c r="Q39" s="410">
        <v>76519.3</v>
      </c>
      <c r="R39" s="411">
        <f t="shared" si="7"/>
        <v>60488.393109589044</v>
      </c>
      <c r="T39" s="513">
        <v>76519.3</v>
      </c>
      <c r="X39" s="411"/>
      <c r="Y39" s="498"/>
      <c r="Z39" s="594"/>
      <c r="AA39" s="594"/>
      <c r="AB39" s="594"/>
    </row>
    <row r="40" spans="1:28" s="342" customFormat="1" ht="48.95" customHeight="1" x14ac:dyDescent="0.3">
      <c r="A40" s="565">
        <v>1</v>
      </c>
      <c r="B40" s="564" t="s">
        <v>62</v>
      </c>
      <c r="C40" s="329">
        <v>42550</v>
      </c>
      <c r="D40" s="418">
        <v>4416</v>
      </c>
      <c r="E40" s="328" t="s">
        <v>50</v>
      </c>
      <c r="F40" s="332" t="s">
        <v>48</v>
      </c>
      <c r="G40" s="333" t="s">
        <v>49</v>
      </c>
      <c r="H40" s="571">
        <v>30766.25</v>
      </c>
      <c r="I40" s="420">
        <f>'[3]Depreciación ORIGINAL '!V17</f>
        <v>8359.9908904109598</v>
      </c>
      <c r="J40" s="421">
        <f t="shared" si="2"/>
        <v>22406.259109589038</v>
      </c>
      <c r="K40" s="342">
        <f t="shared" si="3"/>
        <v>3076.625</v>
      </c>
      <c r="L40" s="342">
        <f t="shared" si="4"/>
        <v>27689.625</v>
      </c>
      <c r="M40" s="342">
        <f t="shared" si="5"/>
        <v>5537.9250000000002</v>
      </c>
      <c r="N40" s="408">
        <f t="shared" si="8"/>
        <v>15.172397260273973</v>
      </c>
      <c r="O40" s="409">
        <v>367</v>
      </c>
      <c r="P40" s="408">
        <f t="shared" si="6"/>
        <v>5568.2697945205482</v>
      </c>
      <c r="Q40" s="410">
        <v>26578.66</v>
      </c>
      <c r="R40" s="411">
        <f t="shared" si="7"/>
        <v>21010.390205479453</v>
      </c>
      <c r="T40" s="513">
        <v>26578.66</v>
      </c>
      <c r="X40" s="411"/>
      <c r="Y40" s="498"/>
    </row>
    <row r="41" spans="1:28" s="342" customFormat="1" ht="48.95" customHeight="1" x14ac:dyDescent="0.3">
      <c r="A41" s="565">
        <v>1</v>
      </c>
      <c r="B41" s="564" t="s">
        <v>62</v>
      </c>
      <c r="C41" s="329">
        <v>42550</v>
      </c>
      <c r="D41" s="418">
        <v>4416</v>
      </c>
      <c r="E41" s="328" t="s">
        <v>50</v>
      </c>
      <c r="F41" s="332" t="s">
        <v>48</v>
      </c>
      <c r="G41" s="333" t="s">
        <v>49</v>
      </c>
      <c r="H41" s="571">
        <v>30766.25</v>
      </c>
      <c r="I41" s="420">
        <f>'[3]Depreciación ORIGINAL '!V18</f>
        <v>8359.9908904109598</v>
      </c>
      <c r="J41" s="421">
        <f t="shared" si="2"/>
        <v>22406.259109589038</v>
      </c>
      <c r="K41" s="342">
        <f t="shared" si="3"/>
        <v>3076.625</v>
      </c>
      <c r="L41" s="342">
        <f t="shared" si="4"/>
        <v>27689.625</v>
      </c>
      <c r="M41" s="342">
        <f t="shared" si="5"/>
        <v>5537.9250000000002</v>
      </c>
      <c r="N41" s="408">
        <f t="shared" si="8"/>
        <v>15.172397260273973</v>
      </c>
      <c r="O41" s="409">
        <v>367</v>
      </c>
      <c r="P41" s="408">
        <f t="shared" si="6"/>
        <v>5568.2697945205482</v>
      </c>
      <c r="Q41" s="410">
        <v>26578.66</v>
      </c>
      <c r="R41" s="411">
        <f t="shared" si="7"/>
        <v>21010.390205479453</v>
      </c>
      <c r="T41" s="513">
        <v>26578.66</v>
      </c>
      <c r="X41" s="411"/>
      <c r="Y41" s="498"/>
    </row>
    <row r="42" spans="1:28" s="342" customFormat="1" ht="48.95" customHeight="1" x14ac:dyDescent="0.3">
      <c r="A42" s="565">
        <v>1</v>
      </c>
      <c r="B42" s="564" t="s">
        <v>62</v>
      </c>
      <c r="C42" s="329">
        <v>42550</v>
      </c>
      <c r="D42" s="418">
        <v>4416</v>
      </c>
      <c r="E42" s="328" t="s">
        <v>51</v>
      </c>
      <c r="F42" s="332" t="s">
        <v>21</v>
      </c>
      <c r="G42" s="333" t="s">
        <v>52</v>
      </c>
      <c r="H42" s="571">
        <v>123942.75</v>
      </c>
      <c r="I42" s="420">
        <f>'[3]Depreciación ORIGINAL '!V19</f>
        <v>33678.471082191783</v>
      </c>
      <c r="J42" s="421">
        <f t="shared" si="2"/>
        <v>90264.278917808217</v>
      </c>
      <c r="K42" s="342">
        <f t="shared" si="3"/>
        <v>12394.275000000001</v>
      </c>
      <c r="L42" s="342">
        <f t="shared" si="4"/>
        <v>111548.47500000001</v>
      </c>
      <c r="M42" s="342">
        <f t="shared" si="5"/>
        <v>22309.695000000003</v>
      </c>
      <c r="N42" s="408">
        <f t="shared" si="8"/>
        <v>61.122452054794529</v>
      </c>
      <c r="O42" s="409">
        <v>367</v>
      </c>
      <c r="P42" s="408">
        <f t="shared" si="6"/>
        <v>22431.939904109593</v>
      </c>
      <c r="Q42" s="410">
        <v>107072.95</v>
      </c>
      <c r="R42" s="411">
        <f t="shared" si="7"/>
        <v>84641.010095890408</v>
      </c>
      <c r="T42" s="513">
        <v>107072.95</v>
      </c>
      <c r="X42" s="411"/>
      <c r="Y42" s="498"/>
      <c r="Z42" s="604" t="s">
        <v>122</v>
      </c>
      <c r="AA42" s="604"/>
      <c r="AB42" s="604"/>
    </row>
    <row r="43" spans="1:28" s="342" customFormat="1" ht="48.95" customHeight="1" x14ac:dyDescent="0.3">
      <c r="A43" s="565">
        <v>1</v>
      </c>
      <c r="B43" s="564" t="s">
        <v>62</v>
      </c>
      <c r="C43" s="329">
        <v>42550</v>
      </c>
      <c r="D43" s="418">
        <v>4416</v>
      </c>
      <c r="E43" s="328" t="s">
        <v>51</v>
      </c>
      <c r="F43" s="332" t="s">
        <v>21</v>
      </c>
      <c r="G43" s="333" t="s">
        <v>52</v>
      </c>
      <c r="H43" s="571">
        <v>123942.75</v>
      </c>
      <c r="I43" s="420">
        <f>'[3]Depreciación ORIGINAL '!V20</f>
        <v>33678.471082191783</v>
      </c>
      <c r="J43" s="421">
        <f t="shared" si="2"/>
        <v>90264.278917808217</v>
      </c>
      <c r="K43" s="342">
        <f t="shared" si="3"/>
        <v>12394.275000000001</v>
      </c>
      <c r="L43" s="342">
        <f t="shared" si="4"/>
        <v>111548.47500000001</v>
      </c>
      <c r="M43" s="342">
        <f t="shared" si="5"/>
        <v>22309.695000000003</v>
      </c>
      <c r="N43" s="408">
        <f t="shared" si="8"/>
        <v>61.122452054794529</v>
      </c>
      <c r="O43" s="409">
        <v>367</v>
      </c>
      <c r="P43" s="408">
        <f t="shared" si="6"/>
        <v>22431.939904109593</v>
      </c>
      <c r="Q43" s="410">
        <v>107072.95</v>
      </c>
      <c r="R43" s="411">
        <f t="shared" si="7"/>
        <v>84641.010095890408</v>
      </c>
      <c r="T43" s="513">
        <v>107072.95</v>
      </c>
      <c r="X43" s="411"/>
      <c r="Y43" s="498"/>
    </row>
    <row r="44" spans="1:28" s="342" customFormat="1" ht="30" customHeight="1" x14ac:dyDescent="0.3">
      <c r="A44" s="572">
        <v>1</v>
      </c>
      <c r="B44" s="417" t="s">
        <v>130</v>
      </c>
      <c r="C44" s="566">
        <v>42634</v>
      </c>
      <c r="D44" s="418">
        <v>4657</v>
      </c>
      <c r="E44" s="573" t="s">
        <v>74</v>
      </c>
      <c r="F44" s="574" t="s">
        <v>24</v>
      </c>
      <c r="G44" s="575" t="s">
        <v>73</v>
      </c>
      <c r="H44" s="420">
        <v>31743</v>
      </c>
      <c r="I44" s="420">
        <f>'[3]Depreciación ORIGINAL '!V22</f>
        <v>7310.4563835616436</v>
      </c>
      <c r="J44" s="421">
        <f t="shared" si="2"/>
        <v>24432.543616438357</v>
      </c>
      <c r="K44" s="342">
        <f t="shared" si="3"/>
        <v>3174.3</v>
      </c>
      <c r="L44" s="342">
        <f t="shared" si="4"/>
        <v>28568.7</v>
      </c>
      <c r="M44" s="342">
        <f t="shared" si="5"/>
        <v>5713.7400000000007</v>
      </c>
      <c r="N44" s="408">
        <f t="shared" si="8"/>
        <v>15.654082191780823</v>
      </c>
      <c r="O44" s="409">
        <v>283</v>
      </c>
      <c r="P44" s="408">
        <f t="shared" si="6"/>
        <v>4430.1052602739728</v>
      </c>
      <c r="Q44" s="410">
        <v>28737.38</v>
      </c>
      <c r="R44" s="411">
        <f t="shared" si="7"/>
        <v>24307.274739726028</v>
      </c>
      <c r="T44" s="513">
        <v>28737.38</v>
      </c>
      <c r="X44" s="411"/>
      <c r="Y44" s="498"/>
    </row>
    <row r="45" spans="1:28" s="342" customFormat="1" ht="30" customHeight="1" x14ac:dyDescent="0.3">
      <c r="A45" s="572">
        <v>1</v>
      </c>
      <c r="B45" s="417" t="s">
        <v>130</v>
      </c>
      <c r="C45" s="566">
        <v>42634</v>
      </c>
      <c r="D45" s="418">
        <v>4657</v>
      </c>
      <c r="E45" s="573" t="s">
        <v>74</v>
      </c>
      <c r="F45" s="574" t="s">
        <v>24</v>
      </c>
      <c r="G45" s="575" t="s">
        <v>73</v>
      </c>
      <c r="H45" s="420">
        <v>31743</v>
      </c>
      <c r="I45" s="420">
        <f>'[3]Depreciación ORIGINAL '!V23</f>
        <v>7310.4563835616436</v>
      </c>
      <c r="J45" s="421">
        <f t="shared" si="2"/>
        <v>24432.543616438357</v>
      </c>
      <c r="K45" s="342">
        <f t="shared" si="3"/>
        <v>3174.3</v>
      </c>
      <c r="L45" s="342">
        <f t="shared" si="4"/>
        <v>28568.7</v>
      </c>
      <c r="M45" s="342">
        <f t="shared" si="5"/>
        <v>5713.7400000000007</v>
      </c>
      <c r="N45" s="408">
        <f t="shared" si="8"/>
        <v>15.654082191780823</v>
      </c>
      <c r="O45" s="409">
        <v>283</v>
      </c>
      <c r="P45" s="408">
        <f t="shared" si="6"/>
        <v>4430.1052602739728</v>
      </c>
      <c r="Q45" s="410">
        <v>28737.38</v>
      </c>
      <c r="R45" s="411">
        <f t="shared" si="7"/>
        <v>24307.274739726028</v>
      </c>
      <c r="T45" s="513">
        <v>28737.38</v>
      </c>
      <c r="X45" s="411"/>
      <c r="Y45" s="498"/>
    </row>
    <row r="46" spans="1:28" s="342" customFormat="1" ht="30" customHeight="1" x14ac:dyDescent="0.3">
      <c r="A46" s="572">
        <v>1</v>
      </c>
      <c r="B46" s="417" t="s">
        <v>130</v>
      </c>
      <c r="C46" s="566">
        <v>42634</v>
      </c>
      <c r="D46" s="418">
        <v>4657</v>
      </c>
      <c r="E46" s="573" t="s">
        <v>74</v>
      </c>
      <c r="F46" s="574" t="s">
        <v>24</v>
      </c>
      <c r="G46" s="575" t="s">
        <v>73</v>
      </c>
      <c r="H46" s="420">
        <v>31743</v>
      </c>
      <c r="I46" s="420">
        <f>'[3]Depreciación ORIGINAL '!V24</f>
        <v>7310.4563835616436</v>
      </c>
      <c r="J46" s="421">
        <f t="shared" si="2"/>
        <v>24432.543616438357</v>
      </c>
      <c r="K46" s="342">
        <f t="shared" si="3"/>
        <v>3174.3</v>
      </c>
      <c r="L46" s="342">
        <f t="shared" si="4"/>
        <v>28568.7</v>
      </c>
      <c r="M46" s="342">
        <f t="shared" si="5"/>
        <v>5713.7400000000007</v>
      </c>
      <c r="N46" s="408">
        <f t="shared" si="8"/>
        <v>15.654082191780823</v>
      </c>
      <c r="O46" s="409">
        <v>283</v>
      </c>
      <c r="P46" s="408">
        <f t="shared" si="6"/>
        <v>4430.1052602739728</v>
      </c>
      <c r="Q46" s="410">
        <v>28737.38</v>
      </c>
      <c r="R46" s="411">
        <f t="shared" si="7"/>
        <v>24307.274739726028</v>
      </c>
      <c r="T46" s="513">
        <v>28737.38</v>
      </c>
      <c r="X46" s="411"/>
      <c r="Y46" s="498"/>
    </row>
    <row r="47" spans="1:28" s="342" customFormat="1" ht="30" customHeight="1" x14ac:dyDescent="0.3">
      <c r="A47" s="572">
        <v>1</v>
      </c>
      <c r="B47" s="417" t="s">
        <v>130</v>
      </c>
      <c r="C47" s="566">
        <v>42634</v>
      </c>
      <c r="D47" s="418">
        <v>4657</v>
      </c>
      <c r="E47" s="573" t="s">
        <v>74</v>
      </c>
      <c r="F47" s="574" t="s">
        <v>24</v>
      </c>
      <c r="G47" s="575" t="s">
        <v>73</v>
      </c>
      <c r="H47" s="420">
        <v>31743</v>
      </c>
      <c r="I47" s="420">
        <f>'[3]Depreciación ORIGINAL '!V25</f>
        <v>7310.4563835616436</v>
      </c>
      <c r="J47" s="421">
        <f t="shared" si="2"/>
        <v>24432.543616438357</v>
      </c>
      <c r="K47" s="342">
        <f t="shared" si="3"/>
        <v>3174.3</v>
      </c>
      <c r="L47" s="342">
        <f t="shared" si="4"/>
        <v>28568.7</v>
      </c>
      <c r="M47" s="342">
        <f t="shared" si="5"/>
        <v>5713.7400000000007</v>
      </c>
      <c r="N47" s="408">
        <f t="shared" si="8"/>
        <v>15.654082191780823</v>
      </c>
      <c r="O47" s="409">
        <v>283</v>
      </c>
      <c r="P47" s="408">
        <f t="shared" si="6"/>
        <v>4430.1052602739728</v>
      </c>
      <c r="Q47" s="410">
        <v>28737.38</v>
      </c>
      <c r="R47" s="411">
        <f t="shared" si="7"/>
        <v>24307.274739726028</v>
      </c>
      <c r="T47" s="513">
        <v>28737.38</v>
      </c>
      <c r="X47" s="411"/>
      <c r="Y47" s="498"/>
    </row>
    <row r="48" spans="1:28" s="342" customFormat="1" ht="30" customHeight="1" x14ac:dyDescent="0.3">
      <c r="A48" s="572">
        <v>1</v>
      </c>
      <c r="B48" s="417" t="s">
        <v>130</v>
      </c>
      <c r="C48" s="566">
        <v>42634</v>
      </c>
      <c r="D48" s="418">
        <v>4657</v>
      </c>
      <c r="E48" s="573" t="s">
        <v>74</v>
      </c>
      <c r="F48" s="574" t="s">
        <v>24</v>
      </c>
      <c r="G48" s="575" t="s">
        <v>73</v>
      </c>
      <c r="H48" s="420">
        <v>31743</v>
      </c>
      <c r="I48" s="420">
        <f>'[3]Depreciación ORIGINAL '!V26</f>
        <v>7310.4563835616436</v>
      </c>
      <c r="J48" s="421">
        <f t="shared" si="2"/>
        <v>24432.543616438357</v>
      </c>
      <c r="K48" s="342">
        <f t="shared" si="3"/>
        <v>3174.3</v>
      </c>
      <c r="L48" s="342">
        <f t="shared" si="4"/>
        <v>28568.7</v>
      </c>
      <c r="M48" s="342">
        <f t="shared" si="5"/>
        <v>5713.7400000000007</v>
      </c>
      <c r="N48" s="408">
        <f t="shared" si="8"/>
        <v>15.654082191780823</v>
      </c>
      <c r="O48" s="409">
        <v>283</v>
      </c>
      <c r="P48" s="408">
        <f t="shared" si="6"/>
        <v>4430.1052602739728</v>
      </c>
      <c r="Q48" s="410">
        <v>28737.38</v>
      </c>
      <c r="R48" s="411">
        <f t="shared" si="7"/>
        <v>24307.274739726028</v>
      </c>
      <c r="T48" s="513">
        <v>28737.38</v>
      </c>
      <c r="X48" s="411"/>
      <c r="Y48" s="498"/>
    </row>
    <row r="49" spans="1:29" s="342" customFormat="1" ht="30" customHeight="1" x14ac:dyDescent="0.3">
      <c r="A49" s="572">
        <v>1</v>
      </c>
      <c r="B49" s="417" t="s">
        <v>130</v>
      </c>
      <c r="C49" s="566">
        <v>42634</v>
      </c>
      <c r="D49" s="418">
        <v>4657</v>
      </c>
      <c r="E49" s="573" t="s">
        <v>74</v>
      </c>
      <c r="F49" s="574" t="s">
        <v>24</v>
      </c>
      <c r="G49" s="575" t="s">
        <v>73</v>
      </c>
      <c r="H49" s="420">
        <v>31743</v>
      </c>
      <c r="I49" s="420">
        <f>'[3]Depreciación ORIGINAL '!V27</f>
        <v>7310.4563835616436</v>
      </c>
      <c r="J49" s="421">
        <f t="shared" si="2"/>
        <v>24432.543616438357</v>
      </c>
      <c r="K49" s="342">
        <f t="shared" si="3"/>
        <v>3174.3</v>
      </c>
      <c r="L49" s="342">
        <f t="shared" si="4"/>
        <v>28568.7</v>
      </c>
      <c r="M49" s="342">
        <f t="shared" si="5"/>
        <v>5713.7400000000007</v>
      </c>
      <c r="N49" s="408">
        <f t="shared" si="8"/>
        <v>15.654082191780823</v>
      </c>
      <c r="O49" s="409">
        <v>283</v>
      </c>
      <c r="P49" s="408">
        <f t="shared" si="6"/>
        <v>4430.1052602739728</v>
      </c>
      <c r="Q49" s="410">
        <v>28737.38</v>
      </c>
      <c r="R49" s="411">
        <f t="shared" si="7"/>
        <v>24307.274739726028</v>
      </c>
      <c r="T49" s="513">
        <v>28737.38</v>
      </c>
      <c r="X49" s="411"/>
      <c r="Y49" s="498"/>
      <c r="AC49" s="527"/>
    </row>
    <row r="50" spans="1:29" s="342" customFormat="1" ht="30" customHeight="1" x14ac:dyDescent="0.3">
      <c r="A50" s="572">
        <v>1</v>
      </c>
      <c r="B50" s="417" t="s">
        <v>130</v>
      </c>
      <c r="C50" s="566">
        <v>42634</v>
      </c>
      <c r="D50" s="418">
        <v>4657</v>
      </c>
      <c r="E50" s="573" t="s">
        <v>74</v>
      </c>
      <c r="F50" s="574" t="s">
        <v>24</v>
      </c>
      <c r="G50" s="575" t="s">
        <v>73</v>
      </c>
      <c r="H50" s="420">
        <v>31743</v>
      </c>
      <c r="I50" s="420">
        <f>'[3]Depreciación ORIGINAL '!V28</f>
        <v>7310.4563835616436</v>
      </c>
      <c r="J50" s="421">
        <f t="shared" si="2"/>
        <v>24432.543616438357</v>
      </c>
      <c r="K50" s="342">
        <f t="shared" si="3"/>
        <v>3174.3</v>
      </c>
      <c r="L50" s="342">
        <f t="shared" si="4"/>
        <v>28568.7</v>
      </c>
      <c r="M50" s="342">
        <f t="shared" si="5"/>
        <v>5713.7400000000007</v>
      </c>
      <c r="N50" s="408">
        <f t="shared" si="8"/>
        <v>15.654082191780823</v>
      </c>
      <c r="O50" s="409">
        <v>283</v>
      </c>
      <c r="P50" s="408">
        <f t="shared" si="6"/>
        <v>4430.1052602739728</v>
      </c>
      <c r="Q50" s="410">
        <v>28737.38</v>
      </c>
      <c r="R50" s="411">
        <f t="shared" si="7"/>
        <v>24307.274739726028</v>
      </c>
      <c r="T50" s="513">
        <v>28737.38</v>
      </c>
      <c r="X50" s="411"/>
      <c r="Y50" s="498"/>
    </row>
    <row r="51" spans="1:29" s="342" customFormat="1" ht="30" customHeight="1" x14ac:dyDescent="0.3">
      <c r="A51" s="572">
        <v>1</v>
      </c>
      <c r="B51" s="417" t="s">
        <v>130</v>
      </c>
      <c r="C51" s="566">
        <v>42634</v>
      </c>
      <c r="D51" s="418">
        <v>4657</v>
      </c>
      <c r="E51" s="573" t="s">
        <v>74</v>
      </c>
      <c r="F51" s="574" t="s">
        <v>24</v>
      </c>
      <c r="G51" s="575" t="s">
        <v>73</v>
      </c>
      <c r="H51" s="420">
        <v>31743</v>
      </c>
      <c r="I51" s="420">
        <f>'[3]Depreciación ORIGINAL '!V29</f>
        <v>7310.4563835616436</v>
      </c>
      <c r="J51" s="421">
        <f t="shared" si="2"/>
        <v>24432.543616438357</v>
      </c>
      <c r="K51" s="342">
        <f t="shared" si="3"/>
        <v>3174.3</v>
      </c>
      <c r="L51" s="342">
        <f t="shared" si="4"/>
        <v>28568.7</v>
      </c>
      <c r="M51" s="342">
        <f t="shared" si="5"/>
        <v>5713.7400000000007</v>
      </c>
      <c r="N51" s="408">
        <f t="shared" si="8"/>
        <v>15.654082191780823</v>
      </c>
      <c r="O51" s="409">
        <v>283</v>
      </c>
      <c r="P51" s="408">
        <f t="shared" si="6"/>
        <v>4430.1052602739728</v>
      </c>
      <c r="Q51" s="410">
        <v>28737.38</v>
      </c>
      <c r="R51" s="411">
        <f t="shared" si="7"/>
        <v>24307.274739726028</v>
      </c>
      <c r="T51" s="513">
        <v>28737.38</v>
      </c>
      <c r="X51" s="411"/>
      <c r="Y51" s="498"/>
    </row>
    <row r="52" spans="1:29" s="342" customFormat="1" ht="48.95" customHeight="1" x14ac:dyDescent="0.3">
      <c r="A52" s="572">
        <v>1</v>
      </c>
      <c r="B52" s="417" t="s">
        <v>130</v>
      </c>
      <c r="C52" s="566">
        <v>42634</v>
      </c>
      <c r="D52" s="418">
        <v>4658</v>
      </c>
      <c r="E52" s="573" t="s">
        <v>75</v>
      </c>
      <c r="F52" s="574" t="s">
        <v>24</v>
      </c>
      <c r="G52" s="575" t="s">
        <v>72</v>
      </c>
      <c r="H52" s="420">
        <v>37805</v>
      </c>
      <c r="I52" s="420">
        <f>'[3]Depreciación ORIGINAL '!V30</f>
        <v>8706.5432876712312</v>
      </c>
      <c r="J52" s="421">
        <f t="shared" si="2"/>
        <v>29098.456712328771</v>
      </c>
      <c r="K52" s="342">
        <f t="shared" si="3"/>
        <v>3780.5</v>
      </c>
      <c r="L52" s="342">
        <f t="shared" si="4"/>
        <v>34024.5</v>
      </c>
      <c r="M52" s="342">
        <f t="shared" si="5"/>
        <v>6804.9000000000005</v>
      </c>
      <c r="N52" s="408">
        <f t="shared" si="8"/>
        <v>18.643561643835618</v>
      </c>
      <c r="O52" s="409">
        <v>283</v>
      </c>
      <c r="P52" s="408">
        <f t="shared" si="6"/>
        <v>5276.1279452054796</v>
      </c>
      <c r="Q52" s="410">
        <v>34225.43</v>
      </c>
      <c r="R52" s="411">
        <f t="shared" si="7"/>
        <v>28949.30205479452</v>
      </c>
      <c r="T52" s="422">
        <v>34225.43</v>
      </c>
      <c r="X52" s="411"/>
      <c r="Y52" s="498"/>
    </row>
    <row r="53" spans="1:29" s="342" customFormat="1" ht="48.95" customHeight="1" x14ac:dyDescent="0.3">
      <c r="A53" s="572">
        <v>1</v>
      </c>
      <c r="B53" s="417" t="s">
        <v>130</v>
      </c>
      <c r="C53" s="566">
        <v>42634</v>
      </c>
      <c r="D53" s="418">
        <v>4658</v>
      </c>
      <c r="E53" s="573" t="s">
        <v>76</v>
      </c>
      <c r="F53" s="574" t="s">
        <v>24</v>
      </c>
      <c r="G53" s="575" t="s">
        <v>72</v>
      </c>
      <c r="H53" s="420">
        <v>37805</v>
      </c>
      <c r="I53" s="420">
        <f>'[3]Depreciación ORIGINAL '!V31</f>
        <v>8706.5432876712312</v>
      </c>
      <c r="J53" s="421">
        <f t="shared" si="2"/>
        <v>29098.456712328771</v>
      </c>
      <c r="K53" s="342">
        <f t="shared" si="3"/>
        <v>3780.5</v>
      </c>
      <c r="L53" s="342">
        <f t="shared" si="4"/>
        <v>34024.5</v>
      </c>
      <c r="M53" s="342">
        <f t="shared" si="5"/>
        <v>6804.9000000000005</v>
      </c>
      <c r="N53" s="408">
        <f t="shared" si="8"/>
        <v>18.643561643835618</v>
      </c>
      <c r="O53" s="409">
        <v>283</v>
      </c>
      <c r="P53" s="408">
        <f t="shared" si="6"/>
        <v>5276.1279452054796</v>
      </c>
      <c r="Q53" s="410">
        <v>34225.43</v>
      </c>
      <c r="R53" s="411">
        <f t="shared" si="7"/>
        <v>28949.30205479452</v>
      </c>
      <c r="T53" s="422">
        <v>34225.43</v>
      </c>
      <c r="X53" s="411"/>
      <c r="Y53" s="498"/>
    </row>
    <row r="54" spans="1:29" s="342" customFormat="1" ht="30" customHeight="1" x14ac:dyDescent="0.3">
      <c r="A54" s="572">
        <v>1</v>
      </c>
      <c r="B54" s="417" t="s">
        <v>130</v>
      </c>
      <c r="C54" s="566">
        <v>42634</v>
      </c>
      <c r="D54" s="418">
        <v>4658</v>
      </c>
      <c r="E54" s="573" t="s">
        <v>77</v>
      </c>
      <c r="F54" s="574" t="s">
        <v>24</v>
      </c>
      <c r="G54" s="575" t="s">
        <v>71</v>
      </c>
      <c r="H54" s="420">
        <v>37805</v>
      </c>
      <c r="I54" s="420">
        <f>'[3]Depreciación ORIGINAL '!V32</f>
        <v>8706.5432876712312</v>
      </c>
      <c r="J54" s="421">
        <f t="shared" si="2"/>
        <v>29098.456712328771</v>
      </c>
      <c r="K54" s="342">
        <f t="shared" si="3"/>
        <v>3780.5</v>
      </c>
      <c r="L54" s="342">
        <f t="shared" si="4"/>
        <v>34024.5</v>
      </c>
      <c r="M54" s="342">
        <f t="shared" si="5"/>
        <v>6804.9000000000005</v>
      </c>
      <c r="N54" s="408">
        <f t="shared" si="8"/>
        <v>18.643561643835618</v>
      </c>
      <c r="O54" s="409">
        <v>283</v>
      </c>
      <c r="P54" s="408">
        <f t="shared" si="6"/>
        <v>5276.1279452054796</v>
      </c>
      <c r="Q54" s="410">
        <v>34225.43</v>
      </c>
      <c r="R54" s="411">
        <f t="shared" si="7"/>
        <v>28949.30205479452</v>
      </c>
      <c r="T54" s="422">
        <v>34225.43</v>
      </c>
      <c r="X54" s="411"/>
      <c r="Y54" s="498"/>
    </row>
    <row r="55" spans="1:29" s="342" customFormat="1" ht="30" customHeight="1" x14ac:dyDescent="0.2">
      <c r="A55" s="572">
        <v>1</v>
      </c>
      <c r="B55" s="417" t="s">
        <v>130</v>
      </c>
      <c r="C55" s="566">
        <v>42634</v>
      </c>
      <c r="D55" s="418">
        <v>4658</v>
      </c>
      <c r="E55" s="573" t="s">
        <v>77</v>
      </c>
      <c r="F55" s="574" t="s">
        <v>24</v>
      </c>
      <c r="G55" s="575" t="s">
        <v>71</v>
      </c>
      <c r="H55" s="420">
        <v>37805</v>
      </c>
      <c r="I55" s="420">
        <f>'[3]Depreciación ORIGINAL '!V33</f>
        <v>8706.5432876712312</v>
      </c>
      <c r="J55" s="421">
        <f t="shared" si="2"/>
        <v>29098.456712328771</v>
      </c>
      <c r="K55" s="342">
        <f t="shared" si="3"/>
        <v>3780.5</v>
      </c>
      <c r="L55" s="342">
        <f t="shared" si="4"/>
        <v>34024.5</v>
      </c>
      <c r="M55" s="342">
        <f t="shared" si="5"/>
        <v>6804.9000000000005</v>
      </c>
      <c r="N55" s="408">
        <f t="shared" si="8"/>
        <v>18.643561643835618</v>
      </c>
      <c r="O55" s="409">
        <v>283</v>
      </c>
      <c r="P55" s="408">
        <f t="shared" si="6"/>
        <v>5276.1279452054796</v>
      </c>
      <c r="Q55" s="410">
        <v>34225.43</v>
      </c>
      <c r="R55" s="411">
        <f t="shared" si="7"/>
        <v>28949.30205479452</v>
      </c>
      <c r="T55" s="422">
        <v>34225.43</v>
      </c>
      <c r="X55" s="411"/>
    </row>
    <row r="56" spans="1:29" s="342" customFormat="1" ht="25.5" x14ac:dyDescent="0.2">
      <c r="A56" s="446"/>
      <c r="B56" s="432"/>
      <c r="C56" s="433"/>
      <c r="D56" s="433"/>
      <c r="E56" s="434"/>
      <c r="H56" s="435"/>
      <c r="I56" s="435"/>
      <c r="J56" s="435"/>
      <c r="O56" s="437"/>
    </row>
    <row r="57" spans="1:29" s="342" customFormat="1" ht="25.5" x14ac:dyDescent="0.2">
      <c r="A57" s="446"/>
      <c r="B57" s="432"/>
      <c r="C57" s="433"/>
      <c r="D57" s="433"/>
      <c r="E57" s="434"/>
      <c r="H57" s="435"/>
      <c r="I57" s="435"/>
      <c r="J57" s="435"/>
      <c r="O57" s="437"/>
    </row>
    <row r="58" spans="1:29" s="342" customFormat="1" ht="25.5" x14ac:dyDescent="0.2">
      <c r="A58" s="446"/>
      <c r="B58" s="432"/>
      <c r="C58" s="433"/>
      <c r="D58" s="433"/>
      <c r="E58" s="434"/>
      <c r="H58" s="435"/>
      <c r="I58" s="435"/>
      <c r="J58" s="435"/>
      <c r="O58" s="437"/>
    </row>
    <row r="59" spans="1:29" s="342" customFormat="1" ht="25.5" x14ac:dyDescent="0.2">
      <c r="A59" s="446"/>
      <c r="B59" s="432"/>
      <c r="C59" s="433"/>
      <c r="D59" s="433"/>
      <c r="E59" s="434"/>
      <c r="H59" s="435"/>
      <c r="I59" s="435"/>
      <c r="J59" s="435"/>
      <c r="O59" s="437"/>
    </row>
    <row r="60" spans="1:29" ht="24" thickBot="1" x14ac:dyDescent="0.4">
      <c r="A60" s="446"/>
      <c r="B60" s="598" t="s">
        <v>41</v>
      </c>
      <c r="C60" s="598"/>
      <c r="D60" s="598"/>
      <c r="E60" s="598"/>
      <c r="F60" s="598"/>
      <c r="G60" s="598"/>
      <c r="H60" s="598"/>
      <c r="I60" s="598"/>
      <c r="J60" s="447"/>
      <c r="O60" s="440"/>
    </row>
    <row r="61" spans="1:29" ht="23.25" x14ac:dyDescent="0.3">
      <c r="A61" s="446"/>
      <c r="B61" s="599" t="s">
        <v>7</v>
      </c>
      <c r="C61" s="599"/>
      <c r="D61" s="599"/>
      <c r="E61" s="599"/>
      <c r="F61" s="599"/>
      <c r="G61" s="599"/>
      <c r="H61" s="599"/>
      <c r="I61" s="599"/>
      <c r="J61" s="447"/>
      <c r="O61" s="440"/>
    </row>
    <row r="62" spans="1:29" ht="23.25" x14ac:dyDescent="0.35">
      <c r="A62" s="446"/>
      <c r="B62" s="595" t="s">
        <v>8</v>
      </c>
      <c r="C62" s="595"/>
      <c r="D62" s="595"/>
      <c r="E62" s="595"/>
      <c r="F62" s="595"/>
      <c r="G62" s="595"/>
      <c r="H62" s="595"/>
      <c r="I62" s="595"/>
      <c r="J62" s="450"/>
      <c r="O62" s="440"/>
    </row>
    <row r="63" spans="1:29" ht="23.25" x14ac:dyDescent="0.35">
      <c r="A63" s="446"/>
      <c r="B63" s="595" t="s">
        <v>9</v>
      </c>
      <c r="C63" s="595"/>
      <c r="D63" s="595"/>
      <c r="E63" s="595"/>
      <c r="F63" s="595"/>
      <c r="G63" s="595"/>
      <c r="H63" s="595"/>
      <c r="I63" s="595"/>
      <c r="J63" s="451"/>
      <c r="O63" s="440"/>
    </row>
    <row r="64" spans="1:29" ht="23.25" x14ac:dyDescent="0.35">
      <c r="A64" s="446"/>
      <c r="B64" s="450"/>
      <c r="C64" s="450"/>
      <c r="D64" s="450"/>
      <c r="E64" s="450"/>
      <c r="F64" s="450"/>
      <c r="G64" s="450"/>
      <c r="H64" s="450"/>
      <c r="I64" s="450"/>
      <c r="J64" s="451"/>
      <c r="O64" s="440"/>
    </row>
    <row r="65" spans="1:15" ht="23.25" x14ac:dyDescent="0.35">
      <c r="A65" s="446"/>
      <c r="B65" s="452"/>
      <c r="C65" s="452"/>
      <c r="D65" s="452"/>
      <c r="E65" s="452"/>
      <c r="F65" s="452"/>
      <c r="G65" s="452"/>
      <c r="H65" s="452"/>
      <c r="I65" s="452"/>
      <c r="J65" s="453"/>
      <c r="O65" s="440"/>
    </row>
    <row r="66" spans="1:15" x14ac:dyDescent="0.3">
      <c r="O66" s="440"/>
    </row>
    <row r="67" spans="1:15" x14ac:dyDescent="0.3">
      <c r="O67" s="440"/>
    </row>
  </sheetData>
  <mergeCells count="14">
    <mergeCell ref="B62:I62"/>
    <mergeCell ref="B63:I63"/>
    <mergeCell ref="Z30:AB30"/>
    <mergeCell ref="AA33:AB33"/>
    <mergeCell ref="Z39:AB39"/>
    <mergeCell ref="Z42:AB42"/>
    <mergeCell ref="B60:I60"/>
    <mergeCell ref="B61:I61"/>
    <mergeCell ref="A5:J5"/>
    <mergeCell ref="A6:J6"/>
    <mergeCell ref="Z19:AB19"/>
    <mergeCell ref="AB23:AC23"/>
    <mergeCell ref="AB24:AC24"/>
    <mergeCell ref="AB26:AC26"/>
  </mergeCells>
  <printOptions horizontalCentered="1"/>
  <pageMargins left="0.15748031496062992" right="0.15748031496062992" top="0.27559055118110237" bottom="0.23622047244094491" header="0" footer="0"/>
  <pageSetup scale="4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CC69"/>
  <sheetViews>
    <sheetView showGridLines="0" zoomScale="110" zoomScaleNormal="110" workbookViewId="0">
      <pane xSplit="5" ySplit="3" topLeftCell="O9" activePane="bottomRight" state="frozen"/>
      <selection pane="topRight" activeCell="F1" sqref="F1"/>
      <selection pane="bottomLeft" activeCell="A4" sqref="A4"/>
      <selection pane="bottomRight" activeCell="V12" sqref="V12"/>
    </sheetView>
  </sheetViews>
  <sheetFormatPr baseColWidth="10" defaultRowHeight="12.75" x14ac:dyDescent="0.2"/>
  <cols>
    <col min="1" max="1" width="4.7109375" style="157" customWidth="1"/>
    <col min="2" max="2" width="9.85546875" style="157" hidden="1" customWidth="1"/>
    <col min="3" max="3" width="29.5703125" style="170" hidden="1" customWidth="1"/>
    <col min="4" max="4" width="11.42578125" style="170"/>
    <col min="5" max="5" width="34.140625" style="157" customWidth="1"/>
    <col min="6" max="6" width="11.42578125" style="157"/>
    <col min="7" max="7" width="13.28515625" style="157" customWidth="1"/>
    <col min="8" max="8" width="12.28515625" style="157" customWidth="1"/>
    <col min="9" max="12" width="11.42578125" style="157"/>
    <col min="13" max="13" width="0" style="157" hidden="1" customWidth="1"/>
    <col min="14" max="15" width="12.140625" style="157" customWidth="1"/>
    <col min="16" max="16" width="12.5703125" style="163" bestFit="1" customWidth="1"/>
    <col min="17" max="17" width="12.28515625" style="157" customWidth="1"/>
    <col min="18" max="18" width="12.140625" style="157" bestFit="1" customWidth="1"/>
    <col min="19" max="19" width="13" style="157" customWidth="1"/>
    <col min="20" max="20" width="12" style="157" customWidth="1"/>
    <col min="21" max="21" width="13" style="157" customWidth="1"/>
    <col min="22" max="22" width="13.42578125" style="157" customWidth="1"/>
    <col min="23" max="24" width="12.140625" style="157" bestFit="1" customWidth="1"/>
    <col min="25" max="25" width="17.28515625" style="157" hidden="1" customWidth="1"/>
    <col min="26" max="16384" width="11.42578125" style="157"/>
  </cols>
  <sheetData>
    <row r="1" spans="1:81" ht="13.5" x14ac:dyDescent="0.25">
      <c r="A1" s="149"/>
      <c r="B1" s="149"/>
      <c r="C1" s="148"/>
      <c r="D1" s="148"/>
      <c r="E1" s="149"/>
      <c r="F1" s="150"/>
      <c r="G1" s="149"/>
      <c r="H1" s="149"/>
      <c r="I1" s="151" t="s">
        <v>96</v>
      </c>
      <c r="J1" s="152">
        <v>43008</v>
      </c>
      <c r="K1" s="149"/>
      <c r="L1" s="153">
        <v>42886</v>
      </c>
      <c r="M1" s="151"/>
      <c r="N1" s="149"/>
      <c r="O1" s="149"/>
      <c r="P1" s="154"/>
      <c r="Q1" s="155">
        <v>0.1</v>
      </c>
      <c r="R1" s="149"/>
      <c r="S1" s="156"/>
      <c r="T1" s="151">
        <v>365</v>
      </c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</row>
    <row r="2" spans="1:81" ht="14.25" thickBot="1" x14ac:dyDescent="0.3">
      <c r="A2" s="149"/>
      <c r="B2" s="149"/>
      <c r="C2" s="148"/>
      <c r="D2" s="148"/>
      <c r="E2" s="149"/>
      <c r="F2" s="156"/>
      <c r="G2" s="149"/>
      <c r="H2" s="149"/>
      <c r="I2" s="158">
        <v>1</v>
      </c>
      <c r="J2" s="149"/>
      <c r="K2" s="149"/>
      <c r="L2" s="149"/>
      <c r="M2" s="149"/>
      <c r="N2" s="149"/>
      <c r="O2" s="149"/>
      <c r="P2" s="154"/>
      <c r="Q2" s="149"/>
      <c r="R2" s="149"/>
      <c r="S2" s="149"/>
      <c r="T2" s="151">
        <v>61</v>
      </c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</row>
    <row r="3" spans="1:81" ht="51.75" thickBot="1" x14ac:dyDescent="0.25">
      <c r="A3" s="284" t="s">
        <v>97</v>
      </c>
      <c r="B3" s="285" t="s">
        <v>98</v>
      </c>
      <c r="C3" s="286" t="s">
        <v>99</v>
      </c>
      <c r="D3" s="286" t="s">
        <v>100</v>
      </c>
      <c r="E3" s="287" t="s">
        <v>101</v>
      </c>
      <c r="F3" s="288" t="s">
        <v>102</v>
      </c>
      <c r="G3" s="289" t="s">
        <v>103</v>
      </c>
      <c r="H3" s="290" t="s">
        <v>104</v>
      </c>
      <c r="I3" s="290" t="s">
        <v>105</v>
      </c>
      <c r="J3" s="285" t="s">
        <v>106</v>
      </c>
      <c r="K3" s="285" t="s">
        <v>107</v>
      </c>
      <c r="L3" s="287" t="s">
        <v>108</v>
      </c>
      <c r="M3" s="291" t="s">
        <v>109</v>
      </c>
      <c r="N3" s="291" t="s">
        <v>110</v>
      </c>
      <c r="O3" s="291" t="s">
        <v>111</v>
      </c>
      <c r="P3" s="283" t="s">
        <v>112</v>
      </c>
      <c r="Q3" s="292" t="s">
        <v>113</v>
      </c>
      <c r="R3" s="293" t="s">
        <v>114</v>
      </c>
      <c r="S3" s="293" t="s">
        <v>115</v>
      </c>
      <c r="T3" s="293" t="s">
        <v>116</v>
      </c>
      <c r="U3" s="294" t="s">
        <v>117</v>
      </c>
      <c r="V3" s="295" t="s">
        <v>118</v>
      </c>
      <c r="W3" s="296" t="s">
        <v>119</v>
      </c>
      <c r="X3" s="297" t="s">
        <v>44</v>
      </c>
      <c r="Y3" s="291" t="s">
        <v>120</v>
      </c>
      <c r="Z3" s="159"/>
      <c r="AA3" s="159"/>
      <c r="AB3" s="159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</row>
    <row r="4" spans="1:81" s="311" customFormat="1" ht="13.5" x14ac:dyDescent="0.2">
      <c r="A4" s="304"/>
      <c r="B4" s="304"/>
      <c r="C4" s="305"/>
      <c r="D4" s="305"/>
      <c r="E4" s="304"/>
      <c r="F4" s="304"/>
      <c r="G4" s="304"/>
      <c r="H4" s="304"/>
      <c r="I4" s="304"/>
      <c r="J4" s="304"/>
      <c r="K4" s="304"/>
      <c r="L4" s="304"/>
      <c r="M4" s="306"/>
      <c r="N4" s="306"/>
      <c r="O4" s="306"/>
      <c r="P4" s="307"/>
      <c r="Q4" s="304"/>
      <c r="R4" s="308"/>
      <c r="S4" s="308"/>
      <c r="T4" s="308"/>
      <c r="U4" s="308"/>
      <c r="V4" s="309"/>
      <c r="W4" s="309"/>
      <c r="X4" s="309"/>
      <c r="Y4" s="306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</row>
    <row r="5" spans="1:81" s="318" customFormat="1" ht="24.75" customHeight="1" x14ac:dyDescent="0.2">
      <c r="A5" s="606" t="s">
        <v>127</v>
      </c>
      <c r="B5" s="606"/>
      <c r="C5" s="606"/>
      <c r="D5" s="606"/>
      <c r="E5" s="312"/>
      <c r="F5" s="312"/>
      <c r="G5" s="312"/>
      <c r="H5" s="312"/>
      <c r="I5" s="312"/>
      <c r="J5" s="312"/>
      <c r="K5" s="312"/>
      <c r="L5" s="312"/>
      <c r="M5" s="313"/>
      <c r="N5" s="313"/>
      <c r="O5" s="313"/>
      <c r="P5" s="314"/>
      <c r="Q5" s="312"/>
      <c r="R5" s="315"/>
      <c r="S5" s="315"/>
      <c r="T5" s="315"/>
      <c r="U5" s="315"/>
      <c r="V5" s="316"/>
      <c r="W5" s="316"/>
      <c r="X5" s="316"/>
      <c r="Y5" s="313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</row>
    <row r="6" spans="1:81" s="326" customFormat="1" ht="14.25" thickBot="1" x14ac:dyDescent="0.25">
      <c r="A6" s="319"/>
      <c r="B6" s="319"/>
      <c r="C6" s="320"/>
      <c r="D6" s="320"/>
      <c r="E6" s="319"/>
      <c r="F6" s="319"/>
      <c r="G6" s="319"/>
      <c r="H6" s="319"/>
      <c r="I6" s="319"/>
      <c r="J6" s="319"/>
      <c r="K6" s="319"/>
      <c r="L6" s="319"/>
      <c r="M6" s="321"/>
      <c r="N6" s="321"/>
      <c r="O6" s="321"/>
      <c r="P6" s="322"/>
      <c r="Q6" s="319"/>
      <c r="R6" s="323"/>
      <c r="S6" s="323"/>
      <c r="T6" s="323"/>
      <c r="U6" s="323"/>
      <c r="V6" s="324"/>
      <c r="W6" s="324"/>
      <c r="X6" s="324"/>
      <c r="Y6" s="321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</row>
    <row r="7" spans="1:81" s="201" customFormat="1" ht="26.45" customHeight="1" x14ac:dyDescent="0.2">
      <c r="A7" s="233">
        <v>1</v>
      </c>
      <c r="B7" s="234"/>
      <c r="C7" s="298"/>
      <c r="D7" s="299" t="s">
        <v>88</v>
      </c>
      <c r="E7" s="298" t="s">
        <v>93</v>
      </c>
      <c r="F7" s="237">
        <v>10</v>
      </c>
      <c r="G7" s="300">
        <v>42748</v>
      </c>
      <c r="H7" s="239">
        <f t="shared" ref="H7:H33" si="0">(F7*$T$1)+G7</f>
        <v>46398</v>
      </c>
      <c r="I7" s="233">
        <f>DATEDIF(G7,H7,$I$1)</f>
        <v>3650</v>
      </c>
      <c r="J7" s="240">
        <f>$J$1</f>
        <v>43008</v>
      </c>
      <c r="K7" s="241">
        <f>J7-G7+$I$2</f>
        <v>261</v>
      </c>
      <c r="L7" s="240">
        <f t="shared" ref="L7:L33" si="1">$L$1</f>
        <v>42886</v>
      </c>
      <c r="M7" s="242">
        <f>IF(_xlfn.DAYS(L7,G7-1)&lt;0,0,_xlfn.DAYS(L7,G7-1))</f>
        <v>139</v>
      </c>
      <c r="N7" s="243">
        <f>IF(GESTEP(M7,I7),0,IF(GESTEP(K7,I7),I7-M7,K7-M7))</f>
        <v>122</v>
      </c>
      <c r="O7" s="243">
        <f>M7+N7</f>
        <v>261</v>
      </c>
      <c r="P7" s="301">
        <v>23573.759999999998</v>
      </c>
      <c r="Q7" s="302">
        <f>P7*$Q$1</f>
        <v>2357.3759999999997</v>
      </c>
      <c r="R7" s="246">
        <f>P7-Q7</f>
        <v>21216.383999999998</v>
      </c>
      <c r="S7" s="246">
        <f>IF(F7&gt;=1,(R7/F7),IF(F7=0,0))</f>
        <v>2121.6383999999998</v>
      </c>
      <c r="T7" s="247">
        <f>(S7/$T$1)*$T$2</f>
        <v>354.57518465753424</v>
      </c>
      <c r="U7" s="247">
        <f>S7/$T$1</f>
        <v>5.8127079452054788</v>
      </c>
      <c r="V7" s="248">
        <f>IF(O7&lt;I7,(O7*U7),IF(O7&gt;=I7,(I7*U7)))</f>
        <v>1517.1167736986299</v>
      </c>
      <c r="W7" s="248">
        <f t="shared" ref="W7:W33" si="2">R7-V7</f>
        <v>19699.267226301366</v>
      </c>
      <c r="X7" s="248">
        <f>P7-V7</f>
        <v>22056.64322630137</v>
      </c>
      <c r="Y7" s="303">
        <f>N7*U7</f>
        <v>709.15036931506847</v>
      </c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</row>
    <row r="8" spans="1:81" s="201" customFormat="1" ht="26.45" customHeight="1" x14ac:dyDescent="0.2">
      <c r="A8" s="164">
        <v>2</v>
      </c>
      <c r="B8" s="211"/>
      <c r="C8" s="204"/>
      <c r="D8" s="171"/>
      <c r="E8" s="204" t="s">
        <v>121</v>
      </c>
      <c r="F8" s="183">
        <v>5</v>
      </c>
      <c r="G8" s="205">
        <v>42905</v>
      </c>
      <c r="H8" s="165">
        <f t="shared" si="0"/>
        <v>44730</v>
      </c>
      <c r="I8" s="164">
        <f t="shared" ref="I8:I33" si="3">DATEDIF(G8,H8,$I$1)</f>
        <v>1825</v>
      </c>
      <c r="J8" s="166">
        <f t="shared" ref="J8:J33" si="4">$J$1</f>
        <v>43008</v>
      </c>
      <c r="K8" s="167">
        <f t="shared" ref="K8:K33" si="5">J8-G8+$I$2</f>
        <v>104</v>
      </c>
      <c r="L8" s="166">
        <f t="shared" si="1"/>
        <v>42886</v>
      </c>
      <c r="M8" s="185">
        <f t="shared" ref="M8:M33" si="6">IF(_xlfn.DAYS(L8,G8-1)&lt;0,0,_xlfn.DAYS(L8,G8-1))</f>
        <v>0</v>
      </c>
      <c r="N8" s="186">
        <f>IF(GESTEP(M8,I8),0,IF(GESTEP(K8,I8),I8-M8,K8-M8))</f>
        <v>104</v>
      </c>
      <c r="O8" s="186">
        <f t="shared" ref="O8:O33" si="7">M8+N8</f>
        <v>104</v>
      </c>
      <c r="P8" s="187">
        <v>21893</v>
      </c>
      <c r="Q8" s="206">
        <f t="shared" ref="Q8:Q33" si="8">P8*$Q$1</f>
        <v>2189.3000000000002</v>
      </c>
      <c r="R8" s="168">
        <f t="shared" ref="R8:R33" si="9">P8-Q8</f>
        <v>19703.7</v>
      </c>
      <c r="S8" s="168">
        <f t="shared" ref="S8:S33" si="10">IF(F8&gt;=1,(R8/F8),IF(F8=0,0))</f>
        <v>3940.7400000000002</v>
      </c>
      <c r="T8" s="169">
        <f t="shared" ref="T8:T33" si="11">(S8/$T$1)*$T$2</f>
        <v>658.58942465753432</v>
      </c>
      <c r="U8" s="169">
        <f t="shared" ref="U8:U33" si="12">S8/$T$1</f>
        <v>10.79654794520548</v>
      </c>
      <c r="V8" s="189">
        <f>IF(O8&lt;I8,(O8*U8),IF(O8&gt;=I8,(I8*U8)))</f>
        <v>1122.8409863013699</v>
      </c>
      <c r="W8" s="189">
        <f t="shared" si="2"/>
        <v>18580.859013698631</v>
      </c>
      <c r="X8" s="189">
        <f t="shared" ref="X8:X33" si="13">P8-V8</f>
        <v>20770.159013698631</v>
      </c>
      <c r="Y8" s="190">
        <f t="shared" ref="Y8:Y33" si="14">N8*U8</f>
        <v>1122.8409863013699</v>
      </c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</row>
    <row r="9" spans="1:81" s="201" customFormat="1" ht="26.45" customHeight="1" thickBot="1" x14ac:dyDescent="0.25">
      <c r="A9" s="218">
        <v>3</v>
      </c>
      <c r="B9" s="219"/>
      <c r="C9" s="220"/>
      <c r="D9" s="210"/>
      <c r="E9" s="220" t="s">
        <v>121</v>
      </c>
      <c r="F9" s="221">
        <v>5</v>
      </c>
      <c r="G9" s="222">
        <v>42905</v>
      </c>
      <c r="H9" s="223">
        <f t="shared" si="0"/>
        <v>44730</v>
      </c>
      <c r="I9" s="218">
        <f t="shared" si="3"/>
        <v>1825</v>
      </c>
      <c r="J9" s="224">
        <f t="shared" si="4"/>
        <v>43008</v>
      </c>
      <c r="K9" s="225">
        <f t="shared" si="5"/>
        <v>104</v>
      </c>
      <c r="L9" s="224">
        <f t="shared" si="1"/>
        <v>42886</v>
      </c>
      <c r="M9" s="226">
        <f t="shared" si="6"/>
        <v>0</v>
      </c>
      <c r="N9" s="227">
        <f t="shared" ref="N9:N33" si="15">IF(GESTEP(M9,I9),0,IF(GESTEP(K9,I9),I9-M9,K9-M9))</f>
        <v>104</v>
      </c>
      <c r="O9" s="227">
        <f t="shared" si="7"/>
        <v>104</v>
      </c>
      <c r="P9" s="228">
        <v>21893</v>
      </c>
      <c r="Q9" s="229">
        <f t="shared" si="8"/>
        <v>2189.3000000000002</v>
      </c>
      <c r="R9" s="230">
        <f t="shared" si="9"/>
        <v>19703.7</v>
      </c>
      <c r="S9" s="230">
        <f t="shared" si="10"/>
        <v>3940.7400000000002</v>
      </c>
      <c r="T9" s="231">
        <f t="shared" si="11"/>
        <v>658.58942465753432</v>
      </c>
      <c r="U9" s="231">
        <f t="shared" si="12"/>
        <v>10.79654794520548</v>
      </c>
      <c r="V9" s="232">
        <f t="shared" ref="V9:V33" si="16">IF(O9&lt;I9,(O9*U9),IF(O9&gt;=I9,(I9*U9)))</f>
        <v>1122.8409863013699</v>
      </c>
      <c r="W9" s="232">
        <f t="shared" si="2"/>
        <v>18580.859013698631</v>
      </c>
      <c r="X9" s="232">
        <f t="shared" si="13"/>
        <v>20770.159013698631</v>
      </c>
      <c r="Y9" s="190">
        <f t="shared" si="14"/>
        <v>1122.8409863013699</v>
      </c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</row>
    <row r="10" spans="1:81" s="201" customFormat="1" ht="26.45" customHeight="1" thickTop="1" x14ac:dyDescent="0.2">
      <c r="A10" s="249"/>
      <c r="B10" s="250"/>
      <c r="C10" s="251"/>
      <c r="D10" s="252"/>
      <c r="E10" s="251"/>
      <c r="F10" s="253"/>
      <c r="G10" s="254"/>
      <c r="H10" s="255"/>
      <c r="I10" s="249"/>
      <c r="J10" s="256"/>
      <c r="K10" s="257"/>
      <c r="L10" s="256"/>
      <c r="M10" s="258"/>
      <c r="N10" s="259"/>
      <c r="O10" s="259"/>
      <c r="P10" s="260"/>
      <c r="Q10" s="261"/>
      <c r="R10" s="262"/>
      <c r="S10" s="262"/>
      <c r="T10" s="263"/>
      <c r="U10" s="263"/>
      <c r="V10" s="264"/>
      <c r="W10" s="264"/>
      <c r="X10" s="264"/>
      <c r="Y10" s="217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</row>
    <row r="11" spans="1:81" s="201" customFormat="1" ht="26.45" customHeight="1" thickBot="1" x14ac:dyDescent="0.25">
      <c r="A11" s="279" t="s">
        <v>128</v>
      </c>
      <c r="B11" s="280"/>
      <c r="C11" s="281"/>
      <c r="D11" s="282"/>
      <c r="E11" s="266"/>
      <c r="F11" s="267"/>
      <c r="G11" s="268"/>
      <c r="H11" s="269"/>
      <c r="I11" s="265"/>
      <c r="J11" s="270"/>
      <c r="K11" s="271"/>
      <c r="L11" s="270"/>
      <c r="M11" s="272"/>
      <c r="N11" s="273"/>
      <c r="O11" s="273"/>
      <c r="P11" s="274"/>
      <c r="Q11" s="275"/>
      <c r="R11" s="276"/>
      <c r="S11" s="276"/>
      <c r="T11" s="277"/>
      <c r="U11" s="277"/>
      <c r="V11" s="278"/>
      <c r="W11" s="278"/>
      <c r="X11" s="278"/>
      <c r="Y11" s="217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</row>
    <row r="12" spans="1:81" s="201" customFormat="1" ht="26.45" customHeight="1" thickTop="1" x14ac:dyDescent="0.2">
      <c r="A12" s="233">
        <v>1</v>
      </c>
      <c r="B12" s="234"/>
      <c r="C12" s="235"/>
      <c r="D12" s="236" t="s">
        <v>47</v>
      </c>
      <c r="E12" s="235" t="s">
        <v>2</v>
      </c>
      <c r="F12" s="237">
        <v>5</v>
      </c>
      <c r="G12" s="238">
        <v>42461</v>
      </c>
      <c r="H12" s="239">
        <f t="shared" si="0"/>
        <v>44286</v>
      </c>
      <c r="I12" s="233">
        <f t="shared" si="3"/>
        <v>1825</v>
      </c>
      <c r="J12" s="240">
        <f t="shared" si="4"/>
        <v>43008</v>
      </c>
      <c r="K12" s="241">
        <f t="shared" si="5"/>
        <v>548</v>
      </c>
      <c r="L12" s="240">
        <f t="shared" si="1"/>
        <v>42886</v>
      </c>
      <c r="M12" s="242">
        <f t="shared" si="6"/>
        <v>426</v>
      </c>
      <c r="N12" s="243">
        <f t="shared" si="15"/>
        <v>122</v>
      </c>
      <c r="O12" s="243">
        <f t="shared" si="7"/>
        <v>548</v>
      </c>
      <c r="P12" s="244">
        <v>123606.55</v>
      </c>
      <c r="Q12" s="245">
        <f t="shared" si="8"/>
        <v>12360.655000000001</v>
      </c>
      <c r="R12" s="246">
        <f t="shared" si="9"/>
        <v>111245.895</v>
      </c>
      <c r="S12" s="246">
        <f t="shared" si="10"/>
        <v>22249.179</v>
      </c>
      <c r="T12" s="247">
        <f t="shared" si="11"/>
        <v>3718.3559424657533</v>
      </c>
      <c r="U12" s="247">
        <f t="shared" si="12"/>
        <v>60.956654794520546</v>
      </c>
      <c r="V12" s="248">
        <f t="shared" si="16"/>
        <v>33404.246827397263</v>
      </c>
      <c r="W12" s="248">
        <f t="shared" si="2"/>
        <v>77841.648172602741</v>
      </c>
      <c r="X12" s="248">
        <f t="shared" si="13"/>
        <v>90202.30317260274</v>
      </c>
      <c r="Y12" s="190">
        <f t="shared" si="14"/>
        <v>7436.7118849315066</v>
      </c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</row>
    <row r="13" spans="1:81" s="201" customFormat="1" ht="26.45" customHeight="1" x14ac:dyDescent="0.2">
      <c r="A13" s="164">
        <v>2</v>
      </c>
      <c r="B13" s="211"/>
      <c r="C13" s="192"/>
      <c r="D13" s="182" t="s">
        <v>48</v>
      </c>
      <c r="E13" s="192" t="s">
        <v>50</v>
      </c>
      <c r="F13" s="183">
        <v>5</v>
      </c>
      <c r="G13" s="184">
        <v>42536</v>
      </c>
      <c r="H13" s="165">
        <f t="shared" si="0"/>
        <v>44361</v>
      </c>
      <c r="I13" s="164">
        <f t="shared" si="3"/>
        <v>1825</v>
      </c>
      <c r="J13" s="166">
        <f t="shared" si="4"/>
        <v>43008</v>
      </c>
      <c r="K13" s="167">
        <f t="shared" si="5"/>
        <v>473</v>
      </c>
      <c r="L13" s="166">
        <f t="shared" si="1"/>
        <v>42886</v>
      </c>
      <c r="M13" s="185">
        <f t="shared" si="6"/>
        <v>351</v>
      </c>
      <c r="N13" s="186">
        <f t="shared" si="15"/>
        <v>122</v>
      </c>
      <c r="O13" s="186">
        <f t="shared" si="7"/>
        <v>473</v>
      </c>
      <c r="P13" s="187">
        <v>105787.5</v>
      </c>
      <c r="Q13" s="188">
        <f t="shared" si="8"/>
        <v>10578.75</v>
      </c>
      <c r="R13" s="168">
        <f t="shared" si="9"/>
        <v>95208.75</v>
      </c>
      <c r="S13" s="168">
        <f t="shared" si="10"/>
        <v>19041.75</v>
      </c>
      <c r="T13" s="169">
        <f t="shared" si="11"/>
        <v>3182.3198630136985</v>
      </c>
      <c r="U13" s="169">
        <f t="shared" si="12"/>
        <v>52.169178082191777</v>
      </c>
      <c r="V13" s="189">
        <f t="shared" si="16"/>
        <v>24676.021232876712</v>
      </c>
      <c r="W13" s="189">
        <f t="shared" si="2"/>
        <v>70532.728767123292</v>
      </c>
      <c r="X13" s="189">
        <f t="shared" si="13"/>
        <v>81111.478767123292</v>
      </c>
      <c r="Y13" s="190">
        <f t="shared" si="14"/>
        <v>6364.639726027397</v>
      </c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</row>
    <row r="14" spans="1:81" s="201" customFormat="1" ht="19.5" customHeight="1" x14ac:dyDescent="0.2">
      <c r="A14" s="164">
        <v>3</v>
      </c>
      <c r="B14" s="211"/>
      <c r="C14" s="192"/>
      <c r="D14" s="193" t="s">
        <v>48</v>
      </c>
      <c r="E14" s="192" t="s">
        <v>50</v>
      </c>
      <c r="F14" s="183">
        <v>5</v>
      </c>
      <c r="G14" s="194">
        <v>42536</v>
      </c>
      <c r="H14" s="165">
        <f t="shared" si="0"/>
        <v>44361</v>
      </c>
      <c r="I14" s="164">
        <f t="shared" si="3"/>
        <v>1825</v>
      </c>
      <c r="J14" s="166">
        <f t="shared" si="4"/>
        <v>43008</v>
      </c>
      <c r="K14" s="167">
        <f t="shared" si="5"/>
        <v>473</v>
      </c>
      <c r="L14" s="166">
        <f t="shared" si="1"/>
        <v>42886</v>
      </c>
      <c r="M14" s="185">
        <f t="shared" si="6"/>
        <v>351</v>
      </c>
      <c r="N14" s="186">
        <f t="shared" si="15"/>
        <v>122</v>
      </c>
      <c r="O14" s="186">
        <f t="shared" si="7"/>
        <v>473</v>
      </c>
      <c r="P14" s="187">
        <v>105787.5</v>
      </c>
      <c r="Q14" s="188">
        <f t="shared" si="8"/>
        <v>10578.75</v>
      </c>
      <c r="R14" s="168">
        <f t="shared" si="9"/>
        <v>95208.75</v>
      </c>
      <c r="S14" s="168">
        <f t="shared" si="10"/>
        <v>19041.75</v>
      </c>
      <c r="T14" s="169">
        <f t="shared" si="11"/>
        <v>3182.3198630136985</v>
      </c>
      <c r="U14" s="169">
        <f t="shared" si="12"/>
        <v>52.169178082191777</v>
      </c>
      <c r="V14" s="189">
        <f t="shared" si="16"/>
        <v>24676.021232876712</v>
      </c>
      <c r="W14" s="189">
        <f t="shared" si="2"/>
        <v>70532.728767123292</v>
      </c>
      <c r="X14" s="189">
        <f t="shared" si="13"/>
        <v>81111.478767123292</v>
      </c>
      <c r="Y14" s="190">
        <f t="shared" si="14"/>
        <v>6364.639726027397</v>
      </c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</row>
    <row r="15" spans="1:81" s="201" customFormat="1" ht="19.5" customHeight="1" x14ac:dyDescent="0.2">
      <c r="A15" s="164">
        <v>4</v>
      </c>
      <c r="B15" s="211"/>
      <c r="C15" s="192"/>
      <c r="D15" s="195" t="s">
        <v>21</v>
      </c>
      <c r="E15" s="192" t="s">
        <v>50</v>
      </c>
      <c r="F15" s="183">
        <v>5</v>
      </c>
      <c r="G15" s="196">
        <v>42550</v>
      </c>
      <c r="H15" s="165">
        <f t="shared" si="0"/>
        <v>44375</v>
      </c>
      <c r="I15" s="164">
        <f t="shared" si="3"/>
        <v>1825</v>
      </c>
      <c r="J15" s="166">
        <f t="shared" si="4"/>
        <v>43008</v>
      </c>
      <c r="K15" s="167">
        <f t="shared" si="5"/>
        <v>459</v>
      </c>
      <c r="L15" s="166">
        <f t="shared" si="1"/>
        <v>42886</v>
      </c>
      <c r="M15" s="185">
        <f t="shared" si="6"/>
        <v>337</v>
      </c>
      <c r="N15" s="186">
        <f t="shared" si="15"/>
        <v>122</v>
      </c>
      <c r="O15" s="186">
        <f t="shared" si="7"/>
        <v>459</v>
      </c>
      <c r="P15" s="197">
        <v>88575.25</v>
      </c>
      <c r="Q15" s="188">
        <f t="shared" si="8"/>
        <v>8857.5249999999996</v>
      </c>
      <c r="R15" s="168">
        <f t="shared" si="9"/>
        <v>79717.725000000006</v>
      </c>
      <c r="S15" s="168">
        <f t="shared" si="10"/>
        <v>15943.545000000002</v>
      </c>
      <c r="T15" s="169">
        <f t="shared" si="11"/>
        <v>2664.537657534247</v>
      </c>
      <c r="U15" s="169">
        <f t="shared" si="12"/>
        <v>43.68094520547946</v>
      </c>
      <c r="V15" s="189">
        <f t="shared" si="16"/>
        <v>20049.553849315071</v>
      </c>
      <c r="W15" s="189">
        <f t="shared" si="2"/>
        <v>59668.171150684939</v>
      </c>
      <c r="X15" s="189">
        <f t="shared" si="13"/>
        <v>68525.696150684933</v>
      </c>
      <c r="Y15" s="190">
        <f t="shared" si="14"/>
        <v>5329.0753150684941</v>
      </c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</row>
    <row r="16" spans="1:81" s="201" customFormat="1" ht="19.5" customHeight="1" x14ac:dyDescent="0.2">
      <c r="A16" s="164">
        <v>5</v>
      </c>
      <c r="B16" s="211"/>
      <c r="C16" s="192"/>
      <c r="D16" s="198" t="s">
        <v>21</v>
      </c>
      <c r="E16" s="192" t="s">
        <v>50</v>
      </c>
      <c r="F16" s="183">
        <v>5</v>
      </c>
      <c r="G16" s="196">
        <v>42550</v>
      </c>
      <c r="H16" s="165">
        <f t="shared" si="0"/>
        <v>44375</v>
      </c>
      <c r="I16" s="164">
        <f t="shared" si="3"/>
        <v>1825</v>
      </c>
      <c r="J16" s="166">
        <f t="shared" si="4"/>
        <v>43008</v>
      </c>
      <c r="K16" s="167">
        <f t="shared" si="5"/>
        <v>459</v>
      </c>
      <c r="L16" s="166">
        <f t="shared" si="1"/>
        <v>42886</v>
      </c>
      <c r="M16" s="185">
        <f t="shared" si="6"/>
        <v>337</v>
      </c>
      <c r="N16" s="186">
        <f t="shared" si="15"/>
        <v>122</v>
      </c>
      <c r="O16" s="186">
        <f t="shared" si="7"/>
        <v>459</v>
      </c>
      <c r="P16" s="197">
        <v>88575.25</v>
      </c>
      <c r="Q16" s="188">
        <f t="shared" si="8"/>
        <v>8857.5249999999996</v>
      </c>
      <c r="R16" s="168">
        <f t="shared" si="9"/>
        <v>79717.725000000006</v>
      </c>
      <c r="S16" s="168">
        <f t="shared" si="10"/>
        <v>15943.545000000002</v>
      </c>
      <c r="T16" s="169">
        <f t="shared" si="11"/>
        <v>2664.537657534247</v>
      </c>
      <c r="U16" s="169">
        <f t="shared" si="12"/>
        <v>43.68094520547946</v>
      </c>
      <c r="V16" s="189">
        <f t="shared" si="16"/>
        <v>20049.553849315071</v>
      </c>
      <c r="W16" s="189">
        <f t="shared" si="2"/>
        <v>59668.171150684939</v>
      </c>
      <c r="X16" s="189">
        <f t="shared" si="13"/>
        <v>68525.696150684933</v>
      </c>
      <c r="Y16" s="190">
        <f t="shared" si="14"/>
        <v>5329.0753150684941</v>
      </c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</row>
    <row r="17" spans="1:81" s="201" customFormat="1" ht="19.5" customHeight="1" x14ac:dyDescent="0.2">
      <c r="A17" s="164">
        <v>6</v>
      </c>
      <c r="B17" s="211"/>
      <c r="C17" s="192"/>
      <c r="D17" s="198" t="s">
        <v>48</v>
      </c>
      <c r="E17" s="192" t="s">
        <v>50</v>
      </c>
      <c r="F17" s="183">
        <v>5</v>
      </c>
      <c r="G17" s="196">
        <v>42550</v>
      </c>
      <c r="H17" s="165">
        <f t="shared" si="0"/>
        <v>44375</v>
      </c>
      <c r="I17" s="164">
        <f t="shared" si="3"/>
        <v>1825</v>
      </c>
      <c r="J17" s="166">
        <f t="shared" si="4"/>
        <v>43008</v>
      </c>
      <c r="K17" s="167">
        <f t="shared" si="5"/>
        <v>459</v>
      </c>
      <c r="L17" s="166">
        <f t="shared" si="1"/>
        <v>42886</v>
      </c>
      <c r="M17" s="185">
        <f t="shared" si="6"/>
        <v>337</v>
      </c>
      <c r="N17" s="186">
        <f t="shared" si="15"/>
        <v>122</v>
      </c>
      <c r="O17" s="186">
        <f t="shared" si="7"/>
        <v>459</v>
      </c>
      <c r="P17" s="197">
        <v>30766.25</v>
      </c>
      <c r="Q17" s="188">
        <f t="shared" si="8"/>
        <v>3076.625</v>
      </c>
      <c r="R17" s="168">
        <f t="shared" si="9"/>
        <v>27689.625</v>
      </c>
      <c r="S17" s="168">
        <f t="shared" si="10"/>
        <v>5537.9250000000002</v>
      </c>
      <c r="T17" s="169">
        <f t="shared" si="11"/>
        <v>925.51623287671237</v>
      </c>
      <c r="U17" s="169">
        <f t="shared" si="12"/>
        <v>15.172397260273973</v>
      </c>
      <c r="V17" s="189">
        <f t="shared" si="16"/>
        <v>6964.1303424657535</v>
      </c>
      <c r="W17" s="189">
        <f t="shared" si="2"/>
        <v>20725.494657534247</v>
      </c>
      <c r="X17" s="189">
        <f t="shared" si="13"/>
        <v>23802.119657534247</v>
      </c>
      <c r="Y17" s="190">
        <f t="shared" si="14"/>
        <v>1851.0324657534247</v>
      </c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</row>
    <row r="18" spans="1:81" s="201" customFormat="1" ht="19.5" customHeight="1" x14ac:dyDescent="0.2">
      <c r="A18" s="164">
        <v>7</v>
      </c>
      <c r="B18" s="211"/>
      <c r="C18" s="192"/>
      <c r="D18" s="198" t="s">
        <v>48</v>
      </c>
      <c r="E18" s="192" t="s">
        <v>50</v>
      </c>
      <c r="F18" s="183">
        <v>5</v>
      </c>
      <c r="G18" s="196">
        <v>42550</v>
      </c>
      <c r="H18" s="165">
        <f t="shared" si="0"/>
        <v>44375</v>
      </c>
      <c r="I18" s="164">
        <f t="shared" si="3"/>
        <v>1825</v>
      </c>
      <c r="J18" s="166">
        <f t="shared" si="4"/>
        <v>43008</v>
      </c>
      <c r="K18" s="167">
        <f t="shared" si="5"/>
        <v>459</v>
      </c>
      <c r="L18" s="166">
        <f t="shared" si="1"/>
        <v>42886</v>
      </c>
      <c r="M18" s="185">
        <f t="shared" si="6"/>
        <v>337</v>
      </c>
      <c r="N18" s="186">
        <f t="shared" si="15"/>
        <v>122</v>
      </c>
      <c r="O18" s="186">
        <f t="shared" si="7"/>
        <v>459</v>
      </c>
      <c r="P18" s="197">
        <v>30766.25</v>
      </c>
      <c r="Q18" s="188">
        <f t="shared" si="8"/>
        <v>3076.625</v>
      </c>
      <c r="R18" s="168">
        <f t="shared" si="9"/>
        <v>27689.625</v>
      </c>
      <c r="S18" s="168">
        <f t="shared" si="10"/>
        <v>5537.9250000000002</v>
      </c>
      <c r="T18" s="169">
        <f t="shared" si="11"/>
        <v>925.51623287671237</v>
      </c>
      <c r="U18" s="169">
        <f t="shared" si="12"/>
        <v>15.172397260273973</v>
      </c>
      <c r="V18" s="189">
        <f t="shared" si="16"/>
        <v>6964.1303424657535</v>
      </c>
      <c r="W18" s="189">
        <f t="shared" si="2"/>
        <v>20725.494657534247</v>
      </c>
      <c r="X18" s="189">
        <f t="shared" si="13"/>
        <v>23802.119657534247</v>
      </c>
      <c r="Y18" s="190">
        <f t="shared" si="14"/>
        <v>1851.0324657534247</v>
      </c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</row>
    <row r="19" spans="1:81" s="201" customFormat="1" ht="27" x14ac:dyDescent="0.2">
      <c r="A19" s="164">
        <v>8</v>
      </c>
      <c r="B19" s="211"/>
      <c r="C19" s="192"/>
      <c r="D19" s="198" t="s">
        <v>21</v>
      </c>
      <c r="E19" s="192" t="s">
        <v>51</v>
      </c>
      <c r="F19" s="183">
        <v>5</v>
      </c>
      <c r="G19" s="196">
        <v>42550</v>
      </c>
      <c r="H19" s="165">
        <f t="shared" si="0"/>
        <v>44375</v>
      </c>
      <c r="I19" s="164">
        <f t="shared" si="3"/>
        <v>1825</v>
      </c>
      <c r="J19" s="166">
        <f t="shared" si="4"/>
        <v>43008</v>
      </c>
      <c r="K19" s="167">
        <f t="shared" si="5"/>
        <v>459</v>
      </c>
      <c r="L19" s="166">
        <f t="shared" si="1"/>
        <v>42886</v>
      </c>
      <c r="M19" s="185">
        <f t="shared" si="6"/>
        <v>337</v>
      </c>
      <c r="N19" s="186">
        <f t="shared" si="15"/>
        <v>122</v>
      </c>
      <c r="O19" s="186">
        <f t="shared" si="7"/>
        <v>459</v>
      </c>
      <c r="P19" s="197">
        <v>123942.75</v>
      </c>
      <c r="Q19" s="188">
        <f t="shared" si="8"/>
        <v>12394.275000000001</v>
      </c>
      <c r="R19" s="168">
        <f t="shared" si="9"/>
        <v>111548.47500000001</v>
      </c>
      <c r="S19" s="168">
        <f t="shared" si="10"/>
        <v>22309.695</v>
      </c>
      <c r="T19" s="169">
        <f t="shared" si="11"/>
        <v>3728.4695753424658</v>
      </c>
      <c r="U19" s="169">
        <f t="shared" si="12"/>
        <v>61.122452054794522</v>
      </c>
      <c r="V19" s="189">
        <f t="shared" si="16"/>
        <v>28055.205493150686</v>
      </c>
      <c r="W19" s="189">
        <f t="shared" si="2"/>
        <v>83493.269506849319</v>
      </c>
      <c r="X19" s="189">
        <f t="shared" si="13"/>
        <v>95887.544506849314</v>
      </c>
      <c r="Y19" s="190">
        <f t="shared" si="14"/>
        <v>7456.9391506849315</v>
      </c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</row>
    <row r="20" spans="1:81" s="201" customFormat="1" ht="27" x14ac:dyDescent="0.2">
      <c r="A20" s="164">
        <v>9</v>
      </c>
      <c r="B20" s="211"/>
      <c r="C20" s="192"/>
      <c r="D20" s="198" t="s">
        <v>21</v>
      </c>
      <c r="E20" s="192" t="s">
        <v>51</v>
      </c>
      <c r="F20" s="183">
        <v>5</v>
      </c>
      <c r="G20" s="196">
        <v>42550</v>
      </c>
      <c r="H20" s="165">
        <f t="shared" si="0"/>
        <v>44375</v>
      </c>
      <c r="I20" s="164">
        <f t="shared" si="3"/>
        <v>1825</v>
      </c>
      <c r="J20" s="166">
        <f t="shared" si="4"/>
        <v>43008</v>
      </c>
      <c r="K20" s="167">
        <f t="shared" si="5"/>
        <v>459</v>
      </c>
      <c r="L20" s="166">
        <f t="shared" si="1"/>
        <v>42886</v>
      </c>
      <c r="M20" s="185">
        <f t="shared" si="6"/>
        <v>337</v>
      </c>
      <c r="N20" s="186">
        <f t="shared" si="15"/>
        <v>122</v>
      </c>
      <c r="O20" s="186">
        <f t="shared" si="7"/>
        <v>459</v>
      </c>
      <c r="P20" s="197">
        <v>123942.75</v>
      </c>
      <c r="Q20" s="188">
        <f t="shared" si="8"/>
        <v>12394.275000000001</v>
      </c>
      <c r="R20" s="168">
        <f t="shared" si="9"/>
        <v>111548.47500000001</v>
      </c>
      <c r="S20" s="168">
        <f t="shared" si="10"/>
        <v>22309.695</v>
      </c>
      <c r="T20" s="169">
        <f t="shared" si="11"/>
        <v>3728.4695753424658</v>
      </c>
      <c r="U20" s="169">
        <f t="shared" si="12"/>
        <v>61.122452054794522</v>
      </c>
      <c r="V20" s="189">
        <f t="shared" si="16"/>
        <v>28055.205493150686</v>
      </c>
      <c r="W20" s="189">
        <f t="shared" si="2"/>
        <v>83493.269506849319</v>
      </c>
      <c r="X20" s="189">
        <f t="shared" si="13"/>
        <v>95887.544506849314</v>
      </c>
      <c r="Y20" s="190">
        <f t="shared" si="14"/>
        <v>7456.9391506849315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</row>
    <row r="21" spans="1:81" s="201" customFormat="1" ht="18.75" customHeight="1" x14ac:dyDescent="0.2">
      <c r="A21" s="164">
        <v>10</v>
      </c>
      <c r="B21" s="211"/>
      <c r="C21" s="200"/>
      <c r="D21" s="199" t="s">
        <v>68</v>
      </c>
      <c r="E21" s="200" t="s">
        <v>67</v>
      </c>
      <c r="F21" s="183">
        <v>5</v>
      </c>
      <c r="G21" s="194">
        <v>42559</v>
      </c>
      <c r="H21" s="165">
        <f t="shared" si="0"/>
        <v>44384</v>
      </c>
      <c r="I21" s="164">
        <f t="shared" si="3"/>
        <v>1825</v>
      </c>
      <c r="J21" s="166">
        <f t="shared" si="4"/>
        <v>43008</v>
      </c>
      <c r="K21" s="167">
        <f t="shared" si="5"/>
        <v>450</v>
      </c>
      <c r="L21" s="166">
        <f t="shared" si="1"/>
        <v>42886</v>
      </c>
      <c r="M21" s="185">
        <f t="shared" si="6"/>
        <v>328</v>
      </c>
      <c r="N21" s="186">
        <f t="shared" si="15"/>
        <v>122</v>
      </c>
      <c r="O21" s="186">
        <f t="shared" si="7"/>
        <v>450</v>
      </c>
      <c r="P21" s="187">
        <v>24662.23</v>
      </c>
      <c r="Q21" s="188">
        <f t="shared" si="8"/>
        <v>2466.223</v>
      </c>
      <c r="R21" s="168">
        <f t="shared" si="9"/>
        <v>22196.006999999998</v>
      </c>
      <c r="S21" s="168">
        <f t="shared" si="10"/>
        <v>4439.2013999999999</v>
      </c>
      <c r="T21" s="169">
        <f t="shared" si="11"/>
        <v>741.89393260273971</v>
      </c>
      <c r="U21" s="169">
        <f t="shared" si="12"/>
        <v>12.162195616438355</v>
      </c>
      <c r="V21" s="189">
        <f t="shared" si="16"/>
        <v>5472.9880273972594</v>
      </c>
      <c r="W21" s="189">
        <f t="shared" si="2"/>
        <v>16723.018972602738</v>
      </c>
      <c r="X21" s="189">
        <f t="shared" si="13"/>
        <v>19189.24197260274</v>
      </c>
      <c r="Y21" s="190">
        <f t="shared" si="14"/>
        <v>1483.7878652054794</v>
      </c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</row>
    <row r="22" spans="1:81" s="201" customFormat="1" ht="18.75" customHeight="1" x14ac:dyDescent="0.2">
      <c r="A22" s="164">
        <v>11</v>
      </c>
      <c r="B22" s="211"/>
      <c r="C22" s="200"/>
      <c r="D22" s="199" t="s">
        <v>24</v>
      </c>
      <c r="E22" s="200" t="s">
        <v>74</v>
      </c>
      <c r="F22" s="183">
        <v>5</v>
      </c>
      <c r="G22" s="194">
        <v>42634</v>
      </c>
      <c r="H22" s="165">
        <f t="shared" si="0"/>
        <v>44459</v>
      </c>
      <c r="I22" s="164">
        <f t="shared" si="3"/>
        <v>1825</v>
      </c>
      <c r="J22" s="166">
        <f t="shared" si="4"/>
        <v>43008</v>
      </c>
      <c r="K22" s="167">
        <f t="shared" si="5"/>
        <v>375</v>
      </c>
      <c r="L22" s="166">
        <f t="shared" si="1"/>
        <v>42886</v>
      </c>
      <c r="M22" s="185">
        <f t="shared" si="6"/>
        <v>253</v>
      </c>
      <c r="N22" s="186">
        <f t="shared" si="15"/>
        <v>122</v>
      </c>
      <c r="O22" s="186">
        <f t="shared" si="7"/>
        <v>375</v>
      </c>
      <c r="P22" s="187">
        <v>31743</v>
      </c>
      <c r="Q22" s="188">
        <f t="shared" si="8"/>
        <v>3174.3</v>
      </c>
      <c r="R22" s="168">
        <f t="shared" si="9"/>
        <v>28568.7</v>
      </c>
      <c r="S22" s="168">
        <f t="shared" si="10"/>
        <v>5713.74</v>
      </c>
      <c r="T22" s="169">
        <f t="shared" si="11"/>
        <v>954.89901369863014</v>
      </c>
      <c r="U22" s="169">
        <f t="shared" si="12"/>
        <v>15.654082191780821</v>
      </c>
      <c r="V22" s="189">
        <f t="shared" si="16"/>
        <v>5870.2808219178078</v>
      </c>
      <c r="W22" s="189">
        <f t="shared" si="2"/>
        <v>22698.419178082193</v>
      </c>
      <c r="X22" s="189">
        <f t="shared" si="13"/>
        <v>25872.719178082192</v>
      </c>
      <c r="Y22" s="190">
        <f t="shared" si="14"/>
        <v>1909.7980273972603</v>
      </c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</row>
    <row r="23" spans="1:81" s="201" customFormat="1" ht="18.75" customHeight="1" x14ac:dyDescent="0.2">
      <c r="A23" s="164">
        <v>12</v>
      </c>
      <c r="B23" s="211"/>
      <c r="C23" s="200"/>
      <c r="D23" s="199" t="s">
        <v>24</v>
      </c>
      <c r="E23" s="200" t="s">
        <v>74</v>
      </c>
      <c r="F23" s="183">
        <v>5</v>
      </c>
      <c r="G23" s="194">
        <v>42634</v>
      </c>
      <c r="H23" s="165">
        <f t="shared" si="0"/>
        <v>44459</v>
      </c>
      <c r="I23" s="164">
        <f t="shared" si="3"/>
        <v>1825</v>
      </c>
      <c r="J23" s="166">
        <f t="shared" si="4"/>
        <v>43008</v>
      </c>
      <c r="K23" s="167">
        <f t="shared" si="5"/>
        <v>375</v>
      </c>
      <c r="L23" s="166">
        <f t="shared" si="1"/>
        <v>42886</v>
      </c>
      <c r="M23" s="185">
        <f t="shared" si="6"/>
        <v>253</v>
      </c>
      <c r="N23" s="186">
        <f t="shared" si="15"/>
        <v>122</v>
      </c>
      <c r="O23" s="186">
        <f t="shared" si="7"/>
        <v>375</v>
      </c>
      <c r="P23" s="187">
        <v>31743</v>
      </c>
      <c r="Q23" s="188">
        <f t="shared" si="8"/>
        <v>3174.3</v>
      </c>
      <c r="R23" s="168">
        <f t="shared" si="9"/>
        <v>28568.7</v>
      </c>
      <c r="S23" s="168">
        <f t="shared" si="10"/>
        <v>5713.74</v>
      </c>
      <c r="T23" s="169">
        <f t="shared" si="11"/>
        <v>954.89901369863014</v>
      </c>
      <c r="U23" s="169">
        <f t="shared" si="12"/>
        <v>15.654082191780821</v>
      </c>
      <c r="V23" s="189">
        <f t="shared" si="16"/>
        <v>5870.2808219178078</v>
      </c>
      <c r="W23" s="189">
        <f t="shared" si="2"/>
        <v>22698.419178082193</v>
      </c>
      <c r="X23" s="189">
        <f t="shared" si="13"/>
        <v>25872.719178082192</v>
      </c>
      <c r="Y23" s="190">
        <f t="shared" si="14"/>
        <v>1909.7980273972603</v>
      </c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</row>
    <row r="24" spans="1:81" s="201" customFormat="1" ht="18.75" customHeight="1" x14ac:dyDescent="0.2">
      <c r="A24" s="164">
        <v>13</v>
      </c>
      <c r="B24" s="211"/>
      <c r="C24" s="200"/>
      <c r="D24" s="199" t="s">
        <v>24</v>
      </c>
      <c r="E24" s="200" t="s">
        <v>74</v>
      </c>
      <c r="F24" s="183">
        <v>5</v>
      </c>
      <c r="G24" s="194">
        <v>42634</v>
      </c>
      <c r="H24" s="165">
        <f t="shared" si="0"/>
        <v>44459</v>
      </c>
      <c r="I24" s="164">
        <f t="shared" si="3"/>
        <v>1825</v>
      </c>
      <c r="J24" s="166">
        <f t="shared" si="4"/>
        <v>43008</v>
      </c>
      <c r="K24" s="167">
        <f t="shared" si="5"/>
        <v>375</v>
      </c>
      <c r="L24" s="166">
        <f t="shared" si="1"/>
        <v>42886</v>
      </c>
      <c r="M24" s="185">
        <f t="shared" si="6"/>
        <v>253</v>
      </c>
      <c r="N24" s="186">
        <f t="shared" si="15"/>
        <v>122</v>
      </c>
      <c r="O24" s="186">
        <f t="shared" si="7"/>
        <v>375</v>
      </c>
      <c r="P24" s="187">
        <v>31743</v>
      </c>
      <c r="Q24" s="188">
        <f t="shared" si="8"/>
        <v>3174.3</v>
      </c>
      <c r="R24" s="168">
        <f t="shared" si="9"/>
        <v>28568.7</v>
      </c>
      <c r="S24" s="168">
        <f t="shared" si="10"/>
        <v>5713.74</v>
      </c>
      <c r="T24" s="169">
        <f t="shared" si="11"/>
        <v>954.89901369863014</v>
      </c>
      <c r="U24" s="169">
        <f t="shared" si="12"/>
        <v>15.654082191780821</v>
      </c>
      <c r="V24" s="189">
        <f t="shared" si="16"/>
        <v>5870.2808219178078</v>
      </c>
      <c r="W24" s="189">
        <f t="shared" si="2"/>
        <v>22698.419178082193</v>
      </c>
      <c r="X24" s="189">
        <f t="shared" si="13"/>
        <v>25872.719178082192</v>
      </c>
      <c r="Y24" s="190">
        <f t="shared" si="14"/>
        <v>1909.7980273972603</v>
      </c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</row>
    <row r="25" spans="1:81" s="201" customFormat="1" ht="18.75" customHeight="1" x14ac:dyDescent="0.2">
      <c r="A25" s="164">
        <v>14</v>
      </c>
      <c r="B25" s="211"/>
      <c r="C25" s="200"/>
      <c r="D25" s="199" t="s">
        <v>24</v>
      </c>
      <c r="E25" s="200" t="s">
        <v>74</v>
      </c>
      <c r="F25" s="183">
        <v>5</v>
      </c>
      <c r="G25" s="194">
        <v>42634</v>
      </c>
      <c r="H25" s="165">
        <f t="shared" si="0"/>
        <v>44459</v>
      </c>
      <c r="I25" s="164">
        <f t="shared" si="3"/>
        <v>1825</v>
      </c>
      <c r="J25" s="166">
        <f t="shared" si="4"/>
        <v>43008</v>
      </c>
      <c r="K25" s="167">
        <f t="shared" si="5"/>
        <v>375</v>
      </c>
      <c r="L25" s="166">
        <f t="shared" si="1"/>
        <v>42886</v>
      </c>
      <c r="M25" s="185">
        <f t="shared" si="6"/>
        <v>253</v>
      </c>
      <c r="N25" s="186">
        <f t="shared" si="15"/>
        <v>122</v>
      </c>
      <c r="O25" s="186">
        <f t="shared" si="7"/>
        <v>375</v>
      </c>
      <c r="P25" s="187">
        <v>31743</v>
      </c>
      <c r="Q25" s="188">
        <f t="shared" si="8"/>
        <v>3174.3</v>
      </c>
      <c r="R25" s="168">
        <f t="shared" si="9"/>
        <v>28568.7</v>
      </c>
      <c r="S25" s="168">
        <f t="shared" si="10"/>
        <v>5713.74</v>
      </c>
      <c r="T25" s="169">
        <f t="shared" si="11"/>
        <v>954.89901369863014</v>
      </c>
      <c r="U25" s="169">
        <f t="shared" si="12"/>
        <v>15.654082191780821</v>
      </c>
      <c r="V25" s="189">
        <f t="shared" si="16"/>
        <v>5870.2808219178078</v>
      </c>
      <c r="W25" s="189">
        <f t="shared" si="2"/>
        <v>22698.419178082193</v>
      </c>
      <c r="X25" s="189">
        <f t="shared" si="13"/>
        <v>25872.719178082192</v>
      </c>
      <c r="Y25" s="190">
        <f t="shared" si="14"/>
        <v>1909.7980273972603</v>
      </c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</row>
    <row r="26" spans="1:81" s="201" customFormat="1" ht="18.75" customHeight="1" x14ac:dyDescent="0.2">
      <c r="A26" s="164">
        <v>15</v>
      </c>
      <c r="B26" s="211"/>
      <c r="C26" s="200"/>
      <c r="D26" s="199" t="s">
        <v>24</v>
      </c>
      <c r="E26" s="200" t="s">
        <v>74</v>
      </c>
      <c r="F26" s="183">
        <v>5</v>
      </c>
      <c r="G26" s="194">
        <v>42634</v>
      </c>
      <c r="H26" s="165">
        <f t="shared" si="0"/>
        <v>44459</v>
      </c>
      <c r="I26" s="164">
        <f t="shared" si="3"/>
        <v>1825</v>
      </c>
      <c r="J26" s="166">
        <f t="shared" si="4"/>
        <v>43008</v>
      </c>
      <c r="K26" s="167">
        <f t="shared" si="5"/>
        <v>375</v>
      </c>
      <c r="L26" s="166">
        <f t="shared" si="1"/>
        <v>42886</v>
      </c>
      <c r="M26" s="185">
        <f t="shared" si="6"/>
        <v>253</v>
      </c>
      <c r="N26" s="186">
        <f t="shared" si="15"/>
        <v>122</v>
      </c>
      <c r="O26" s="186">
        <f t="shared" si="7"/>
        <v>375</v>
      </c>
      <c r="P26" s="187">
        <v>31743</v>
      </c>
      <c r="Q26" s="188">
        <f t="shared" si="8"/>
        <v>3174.3</v>
      </c>
      <c r="R26" s="168">
        <f t="shared" si="9"/>
        <v>28568.7</v>
      </c>
      <c r="S26" s="168">
        <f t="shared" si="10"/>
        <v>5713.74</v>
      </c>
      <c r="T26" s="169">
        <f t="shared" si="11"/>
        <v>954.89901369863014</v>
      </c>
      <c r="U26" s="169">
        <f t="shared" si="12"/>
        <v>15.654082191780821</v>
      </c>
      <c r="V26" s="189">
        <f t="shared" si="16"/>
        <v>5870.2808219178078</v>
      </c>
      <c r="W26" s="189">
        <f t="shared" si="2"/>
        <v>22698.419178082193</v>
      </c>
      <c r="X26" s="189">
        <f t="shared" si="13"/>
        <v>25872.719178082192</v>
      </c>
      <c r="Y26" s="190">
        <f t="shared" si="14"/>
        <v>1909.7980273972603</v>
      </c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</row>
    <row r="27" spans="1:81" s="201" customFormat="1" ht="18.75" customHeight="1" x14ac:dyDescent="0.2">
      <c r="A27" s="164">
        <v>16</v>
      </c>
      <c r="B27" s="211"/>
      <c r="C27" s="200"/>
      <c r="D27" s="199" t="s">
        <v>24</v>
      </c>
      <c r="E27" s="200" t="s">
        <v>74</v>
      </c>
      <c r="F27" s="183">
        <v>5</v>
      </c>
      <c r="G27" s="194">
        <v>42634</v>
      </c>
      <c r="H27" s="165">
        <f t="shared" si="0"/>
        <v>44459</v>
      </c>
      <c r="I27" s="164">
        <f t="shared" si="3"/>
        <v>1825</v>
      </c>
      <c r="J27" s="166">
        <f t="shared" si="4"/>
        <v>43008</v>
      </c>
      <c r="K27" s="167">
        <f t="shared" si="5"/>
        <v>375</v>
      </c>
      <c r="L27" s="166">
        <f t="shared" si="1"/>
        <v>42886</v>
      </c>
      <c r="M27" s="185">
        <f t="shared" si="6"/>
        <v>253</v>
      </c>
      <c r="N27" s="186">
        <f t="shared" si="15"/>
        <v>122</v>
      </c>
      <c r="O27" s="186">
        <f t="shared" si="7"/>
        <v>375</v>
      </c>
      <c r="P27" s="187">
        <v>31743</v>
      </c>
      <c r="Q27" s="188">
        <f t="shared" si="8"/>
        <v>3174.3</v>
      </c>
      <c r="R27" s="168">
        <f t="shared" si="9"/>
        <v>28568.7</v>
      </c>
      <c r="S27" s="168">
        <f t="shared" si="10"/>
        <v>5713.74</v>
      </c>
      <c r="T27" s="169">
        <f t="shared" si="11"/>
        <v>954.89901369863014</v>
      </c>
      <c r="U27" s="169">
        <f t="shared" si="12"/>
        <v>15.654082191780821</v>
      </c>
      <c r="V27" s="189">
        <f t="shared" si="16"/>
        <v>5870.2808219178078</v>
      </c>
      <c r="W27" s="189">
        <f t="shared" si="2"/>
        <v>22698.419178082193</v>
      </c>
      <c r="X27" s="189">
        <f t="shared" si="13"/>
        <v>25872.719178082192</v>
      </c>
      <c r="Y27" s="190">
        <f t="shared" si="14"/>
        <v>1909.7980273972603</v>
      </c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</row>
    <row r="28" spans="1:81" s="201" customFormat="1" ht="18.75" customHeight="1" x14ac:dyDescent="0.2">
      <c r="A28" s="164">
        <v>17</v>
      </c>
      <c r="B28" s="211"/>
      <c r="C28" s="200"/>
      <c r="D28" s="199" t="s">
        <v>24</v>
      </c>
      <c r="E28" s="200" t="s">
        <v>74</v>
      </c>
      <c r="F28" s="183">
        <v>5</v>
      </c>
      <c r="G28" s="194">
        <v>42634</v>
      </c>
      <c r="H28" s="165">
        <f t="shared" si="0"/>
        <v>44459</v>
      </c>
      <c r="I28" s="164">
        <f t="shared" si="3"/>
        <v>1825</v>
      </c>
      <c r="J28" s="166">
        <f t="shared" si="4"/>
        <v>43008</v>
      </c>
      <c r="K28" s="167">
        <f t="shared" si="5"/>
        <v>375</v>
      </c>
      <c r="L28" s="166">
        <f t="shared" si="1"/>
        <v>42886</v>
      </c>
      <c r="M28" s="185">
        <f t="shared" si="6"/>
        <v>253</v>
      </c>
      <c r="N28" s="186">
        <f t="shared" si="15"/>
        <v>122</v>
      </c>
      <c r="O28" s="186">
        <f t="shared" si="7"/>
        <v>375</v>
      </c>
      <c r="P28" s="187">
        <v>31743</v>
      </c>
      <c r="Q28" s="188">
        <f t="shared" si="8"/>
        <v>3174.3</v>
      </c>
      <c r="R28" s="168">
        <f t="shared" si="9"/>
        <v>28568.7</v>
      </c>
      <c r="S28" s="168">
        <f t="shared" si="10"/>
        <v>5713.74</v>
      </c>
      <c r="T28" s="169">
        <f t="shared" si="11"/>
        <v>954.89901369863014</v>
      </c>
      <c r="U28" s="169">
        <f t="shared" si="12"/>
        <v>15.654082191780821</v>
      </c>
      <c r="V28" s="189">
        <f t="shared" si="16"/>
        <v>5870.2808219178078</v>
      </c>
      <c r="W28" s="189">
        <f t="shared" si="2"/>
        <v>22698.419178082193</v>
      </c>
      <c r="X28" s="189">
        <f t="shared" si="13"/>
        <v>25872.719178082192</v>
      </c>
      <c r="Y28" s="190">
        <f t="shared" si="14"/>
        <v>1909.7980273972603</v>
      </c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</row>
    <row r="29" spans="1:81" s="201" customFormat="1" ht="18.75" customHeight="1" x14ac:dyDescent="0.2">
      <c r="A29" s="164">
        <v>18</v>
      </c>
      <c r="B29" s="211"/>
      <c r="C29" s="200"/>
      <c r="D29" s="199" t="s">
        <v>24</v>
      </c>
      <c r="E29" s="200" t="s">
        <v>74</v>
      </c>
      <c r="F29" s="183">
        <v>5</v>
      </c>
      <c r="G29" s="194">
        <v>42634</v>
      </c>
      <c r="H29" s="165">
        <f t="shared" si="0"/>
        <v>44459</v>
      </c>
      <c r="I29" s="164">
        <f t="shared" si="3"/>
        <v>1825</v>
      </c>
      <c r="J29" s="166">
        <f t="shared" si="4"/>
        <v>43008</v>
      </c>
      <c r="K29" s="167">
        <f t="shared" si="5"/>
        <v>375</v>
      </c>
      <c r="L29" s="166">
        <f t="shared" si="1"/>
        <v>42886</v>
      </c>
      <c r="M29" s="185">
        <f t="shared" si="6"/>
        <v>253</v>
      </c>
      <c r="N29" s="186">
        <f t="shared" si="15"/>
        <v>122</v>
      </c>
      <c r="O29" s="186">
        <f t="shared" si="7"/>
        <v>375</v>
      </c>
      <c r="P29" s="187">
        <v>31743</v>
      </c>
      <c r="Q29" s="188">
        <f t="shared" si="8"/>
        <v>3174.3</v>
      </c>
      <c r="R29" s="168">
        <f t="shared" si="9"/>
        <v>28568.7</v>
      </c>
      <c r="S29" s="168">
        <f t="shared" si="10"/>
        <v>5713.74</v>
      </c>
      <c r="T29" s="169">
        <f t="shared" si="11"/>
        <v>954.89901369863014</v>
      </c>
      <c r="U29" s="169">
        <f t="shared" si="12"/>
        <v>15.654082191780821</v>
      </c>
      <c r="V29" s="189">
        <f t="shared" si="16"/>
        <v>5870.2808219178078</v>
      </c>
      <c r="W29" s="189">
        <f t="shared" si="2"/>
        <v>22698.419178082193</v>
      </c>
      <c r="X29" s="189">
        <f t="shared" si="13"/>
        <v>25872.719178082192</v>
      </c>
      <c r="Y29" s="190">
        <f t="shared" si="14"/>
        <v>1909.7980273972603</v>
      </c>
    </row>
    <row r="30" spans="1:81" s="201" customFormat="1" ht="18.75" customHeight="1" x14ac:dyDescent="0.2">
      <c r="A30" s="164">
        <v>19</v>
      </c>
      <c r="B30" s="211"/>
      <c r="C30" s="200"/>
      <c r="D30" s="199" t="s">
        <v>24</v>
      </c>
      <c r="E30" s="200" t="s">
        <v>75</v>
      </c>
      <c r="F30" s="183">
        <v>5</v>
      </c>
      <c r="G30" s="194">
        <v>42634</v>
      </c>
      <c r="H30" s="165">
        <f t="shared" si="0"/>
        <v>44459</v>
      </c>
      <c r="I30" s="164">
        <f t="shared" si="3"/>
        <v>1825</v>
      </c>
      <c r="J30" s="166">
        <f t="shared" si="4"/>
        <v>43008</v>
      </c>
      <c r="K30" s="167">
        <f t="shared" si="5"/>
        <v>375</v>
      </c>
      <c r="L30" s="166">
        <f t="shared" si="1"/>
        <v>42886</v>
      </c>
      <c r="M30" s="185">
        <f t="shared" si="6"/>
        <v>253</v>
      </c>
      <c r="N30" s="186">
        <f t="shared" si="15"/>
        <v>122</v>
      </c>
      <c r="O30" s="186">
        <f t="shared" si="7"/>
        <v>375</v>
      </c>
      <c r="P30" s="187">
        <v>37805</v>
      </c>
      <c r="Q30" s="188">
        <f t="shared" si="8"/>
        <v>3780.5</v>
      </c>
      <c r="R30" s="168">
        <f t="shared" si="9"/>
        <v>34024.5</v>
      </c>
      <c r="S30" s="168">
        <f t="shared" si="10"/>
        <v>6804.9</v>
      </c>
      <c r="T30" s="169">
        <f t="shared" si="11"/>
        <v>1137.2572602739724</v>
      </c>
      <c r="U30" s="169">
        <f t="shared" si="12"/>
        <v>18.643561643835614</v>
      </c>
      <c r="V30" s="189">
        <f t="shared" si="16"/>
        <v>6991.3356164383549</v>
      </c>
      <c r="W30" s="189">
        <f t="shared" si="2"/>
        <v>27033.164383561645</v>
      </c>
      <c r="X30" s="189">
        <f t="shared" si="13"/>
        <v>30813.664383561645</v>
      </c>
      <c r="Y30" s="190">
        <f t="shared" si="14"/>
        <v>2274.5145205479448</v>
      </c>
    </row>
    <row r="31" spans="1:81" s="201" customFormat="1" ht="18.75" customHeight="1" x14ac:dyDescent="0.2">
      <c r="A31" s="164">
        <v>20</v>
      </c>
      <c r="B31" s="211"/>
      <c r="C31" s="200"/>
      <c r="D31" s="199" t="s">
        <v>24</v>
      </c>
      <c r="E31" s="200" t="s">
        <v>76</v>
      </c>
      <c r="F31" s="183">
        <v>5</v>
      </c>
      <c r="G31" s="194">
        <v>42634</v>
      </c>
      <c r="H31" s="165">
        <f t="shared" si="0"/>
        <v>44459</v>
      </c>
      <c r="I31" s="164">
        <f t="shared" si="3"/>
        <v>1825</v>
      </c>
      <c r="J31" s="166">
        <f t="shared" si="4"/>
        <v>43008</v>
      </c>
      <c r="K31" s="167">
        <f t="shared" si="5"/>
        <v>375</v>
      </c>
      <c r="L31" s="166">
        <f t="shared" si="1"/>
        <v>42886</v>
      </c>
      <c r="M31" s="185">
        <f t="shared" si="6"/>
        <v>253</v>
      </c>
      <c r="N31" s="186">
        <f t="shared" si="15"/>
        <v>122</v>
      </c>
      <c r="O31" s="186">
        <f t="shared" si="7"/>
        <v>375</v>
      </c>
      <c r="P31" s="187">
        <v>37805</v>
      </c>
      <c r="Q31" s="188">
        <f t="shared" si="8"/>
        <v>3780.5</v>
      </c>
      <c r="R31" s="168">
        <f t="shared" si="9"/>
        <v>34024.5</v>
      </c>
      <c r="S31" s="168">
        <f t="shared" si="10"/>
        <v>6804.9</v>
      </c>
      <c r="T31" s="169">
        <f t="shared" si="11"/>
        <v>1137.2572602739724</v>
      </c>
      <c r="U31" s="169">
        <f t="shared" si="12"/>
        <v>18.643561643835614</v>
      </c>
      <c r="V31" s="189">
        <f t="shared" si="16"/>
        <v>6991.3356164383549</v>
      </c>
      <c r="W31" s="189">
        <f t="shared" si="2"/>
        <v>27033.164383561645</v>
      </c>
      <c r="X31" s="189">
        <f t="shared" si="13"/>
        <v>30813.664383561645</v>
      </c>
      <c r="Y31" s="190">
        <f t="shared" si="14"/>
        <v>2274.5145205479448</v>
      </c>
    </row>
    <row r="32" spans="1:81" s="201" customFormat="1" ht="18.75" customHeight="1" x14ac:dyDescent="0.2">
      <c r="A32" s="164">
        <v>21</v>
      </c>
      <c r="B32" s="211"/>
      <c r="C32" s="200"/>
      <c r="D32" s="199" t="s">
        <v>24</v>
      </c>
      <c r="E32" s="200" t="s">
        <v>77</v>
      </c>
      <c r="F32" s="183">
        <v>5</v>
      </c>
      <c r="G32" s="194">
        <v>42634</v>
      </c>
      <c r="H32" s="165">
        <f t="shared" si="0"/>
        <v>44459</v>
      </c>
      <c r="I32" s="164">
        <f t="shared" si="3"/>
        <v>1825</v>
      </c>
      <c r="J32" s="166">
        <f t="shared" si="4"/>
        <v>43008</v>
      </c>
      <c r="K32" s="167">
        <f t="shared" si="5"/>
        <v>375</v>
      </c>
      <c r="L32" s="166">
        <f t="shared" si="1"/>
        <v>42886</v>
      </c>
      <c r="M32" s="185">
        <f t="shared" si="6"/>
        <v>253</v>
      </c>
      <c r="N32" s="186">
        <f t="shared" si="15"/>
        <v>122</v>
      </c>
      <c r="O32" s="186">
        <f t="shared" si="7"/>
        <v>375</v>
      </c>
      <c r="P32" s="187">
        <v>37805</v>
      </c>
      <c r="Q32" s="188">
        <f t="shared" si="8"/>
        <v>3780.5</v>
      </c>
      <c r="R32" s="168">
        <f t="shared" si="9"/>
        <v>34024.5</v>
      </c>
      <c r="S32" s="168">
        <f t="shared" si="10"/>
        <v>6804.9</v>
      </c>
      <c r="T32" s="169">
        <f t="shared" si="11"/>
        <v>1137.2572602739724</v>
      </c>
      <c r="U32" s="169">
        <f t="shared" si="12"/>
        <v>18.643561643835614</v>
      </c>
      <c r="V32" s="189">
        <f t="shared" si="16"/>
        <v>6991.3356164383549</v>
      </c>
      <c r="W32" s="189">
        <f t="shared" si="2"/>
        <v>27033.164383561645</v>
      </c>
      <c r="X32" s="189">
        <f t="shared" si="13"/>
        <v>30813.664383561645</v>
      </c>
      <c r="Y32" s="190">
        <f t="shared" si="14"/>
        <v>2274.5145205479448</v>
      </c>
    </row>
    <row r="33" spans="1:25" s="201" customFormat="1" ht="18.75" customHeight="1" x14ac:dyDescent="0.2">
      <c r="A33" s="164">
        <v>22</v>
      </c>
      <c r="B33" s="211"/>
      <c r="C33" s="202"/>
      <c r="D33" s="199" t="s">
        <v>24</v>
      </c>
      <c r="E33" s="202" t="s">
        <v>77</v>
      </c>
      <c r="F33" s="183">
        <v>5</v>
      </c>
      <c r="G33" s="194">
        <v>42634</v>
      </c>
      <c r="H33" s="165">
        <f t="shared" si="0"/>
        <v>44459</v>
      </c>
      <c r="I33" s="164">
        <f t="shared" si="3"/>
        <v>1825</v>
      </c>
      <c r="J33" s="166">
        <f t="shared" si="4"/>
        <v>43008</v>
      </c>
      <c r="K33" s="167">
        <f t="shared" si="5"/>
        <v>375</v>
      </c>
      <c r="L33" s="166">
        <f t="shared" si="1"/>
        <v>42886</v>
      </c>
      <c r="M33" s="185">
        <f t="shared" si="6"/>
        <v>253</v>
      </c>
      <c r="N33" s="186">
        <f t="shared" si="15"/>
        <v>122</v>
      </c>
      <c r="O33" s="186">
        <f t="shared" si="7"/>
        <v>375</v>
      </c>
      <c r="P33" s="203">
        <v>37805</v>
      </c>
      <c r="Q33" s="188">
        <f t="shared" si="8"/>
        <v>3780.5</v>
      </c>
      <c r="R33" s="168">
        <f t="shared" si="9"/>
        <v>34024.5</v>
      </c>
      <c r="S33" s="168">
        <f t="shared" si="10"/>
        <v>6804.9</v>
      </c>
      <c r="T33" s="169">
        <f t="shared" si="11"/>
        <v>1137.2572602739724</v>
      </c>
      <c r="U33" s="169">
        <f t="shared" si="12"/>
        <v>18.643561643835614</v>
      </c>
      <c r="V33" s="189">
        <f t="shared" si="16"/>
        <v>6991.3356164383549</v>
      </c>
      <c r="W33" s="189">
        <f t="shared" si="2"/>
        <v>27033.164383561645</v>
      </c>
      <c r="X33" s="189">
        <f t="shared" si="13"/>
        <v>30813.664383561645</v>
      </c>
      <c r="Y33" s="190">
        <f t="shared" si="14"/>
        <v>2274.5145205479448</v>
      </c>
    </row>
    <row r="34" spans="1:25" s="201" customFormat="1" x14ac:dyDescent="0.2">
      <c r="A34" s="164"/>
      <c r="B34" s="211"/>
      <c r="C34" s="207"/>
      <c r="D34" s="207"/>
      <c r="E34" s="208"/>
      <c r="F34" s="183"/>
      <c r="G34" s="208"/>
      <c r="H34" s="165"/>
      <c r="I34" s="164"/>
      <c r="J34" s="166"/>
      <c r="K34" s="167"/>
      <c r="L34" s="166"/>
      <c r="M34" s="185"/>
      <c r="N34" s="186"/>
      <c r="O34" s="186"/>
      <c r="P34" s="209"/>
      <c r="Q34" s="188"/>
      <c r="R34" s="168"/>
      <c r="S34" s="168"/>
      <c r="T34" s="169"/>
      <c r="U34" s="169"/>
      <c r="V34" s="189"/>
      <c r="W34" s="189"/>
      <c r="X34" s="189"/>
      <c r="Y34" s="190"/>
    </row>
    <row r="35" spans="1:25" s="201" customFormat="1" x14ac:dyDescent="0.2">
      <c r="A35" s="164"/>
      <c r="B35" s="211"/>
      <c r="C35" s="207"/>
      <c r="D35" s="207"/>
      <c r="E35" s="208"/>
      <c r="F35" s="183"/>
      <c r="G35" s="208"/>
      <c r="H35" s="165"/>
      <c r="I35" s="164"/>
      <c r="J35" s="166"/>
      <c r="K35" s="167"/>
      <c r="L35" s="166"/>
      <c r="M35" s="185"/>
      <c r="N35" s="186"/>
      <c r="O35" s="186"/>
      <c r="P35" s="209"/>
      <c r="Q35" s="188"/>
      <c r="R35" s="168"/>
      <c r="S35" s="168"/>
      <c r="T35" s="169"/>
      <c r="U35" s="169"/>
      <c r="V35" s="189"/>
      <c r="W35" s="189"/>
      <c r="X35" s="189"/>
      <c r="Y35" s="190"/>
    </row>
    <row r="36" spans="1:25" s="201" customFormat="1" x14ac:dyDescent="0.2">
      <c r="A36" s="164"/>
      <c r="B36" s="211"/>
      <c r="C36" s="207"/>
      <c r="D36" s="207"/>
      <c r="E36" s="208"/>
      <c r="F36" s="183"/>
      <c r="G36" s="208"/>
      <c r="H36" s="165"/>
      <c r="I36" s="164"/>
      <c r="J36" s="166"/>
      <c r="K36" s="167"/>
      <c r="L36" s="166"/>
      <c r="M36" s="185"/>
      <c r="N36" s="186"/>
      <c r="O36" s="186"/>
      <c r="P36" s="209"/>
      <c r="Q36" s="188"/>
      <c r="R36" s="168"/>
      <c r="S36" s="168"/>
      <c r="T36" s="169"/>
      <c r="U36" s="169"/>
      <c r="V36" s="189"/>
      <c r="W36" s="189"/>
      <c r="X36" s="189"/>
      <c r="Y36" s="190"/>
    </row>
    <row r="37" spans="1:25" s="201" customFormat="1" x14ac:dyDescent="0.2">
      <c r="A37" s="164"/>
      <c r="B37" s="211"/>
      <c r="C37" s="207"/>
      <c r="D37" s="207"/>
      <c r="E37" s="208"/>
      <c r="F37" s="183"/>
      <c r="G37" s="208"/>
      <c r="H37" s="165"/>
      <c r="I37" s="164"/>
      <c r="J37" s="166"/>
      <c r="K37" s="167"/>
      <c r="L37" s="166"/>
      <c r="M37" s="185"/>
      <c r="N37" s="186"/>
      <c r="O37" s="186"/>
      <c r="P37" s="209"/>
      <c r="Q37" s="188"/>
      <c r="R37" s="168"/>
      <c r="S37" s="168"/>
      <c r="T37" s="169"/>
      <c r="U37" s="169"/>
      <c r="V37" s="189"/>
      <c r="W37" s="189"/>
      <c r="X37" s="189"/>
      <c r="Y37" s="190"/>
    </row>
    <row r="38" spans="1:25" s="201" customFormat="1" x14ac:dyDescent="0.2">
      <c r="A38" s="164"/>
      <c r="B38" s="211"/>
      <c r="C38" s="207"/>
      <c r="D38" s="207"/>
      <c r="E38" s="208"/>
      <c r="F38" s="183"/>
      <c r="G38" s="208"/>
      <c r="H38" s="165"/>
      <c r="I38" s="164"/>
      <c r="J38" s="166"/>
      <c r="K38" s="167"/>
      <c r="L38" s="166"/>
      <c r="M38" s="185"/>
      <c r="N38" s="186"/>
      <c r="O38" s="186"/>
      <c r="P38" s="209"/>
      <c r="Q38" s="188"/>
      <c r="R38" s="168"/>
      <c r="S38" s="168"/>
      <c r="T38" s="169"/>
      <c r="U38" s="169"/>
      <c r="V38" s="189"/>
      <c r="W38" s="189"/>
      <c r="X38" s="189"/>
      <c r="Y38" s="190"/>
    </row>
    <row r="39" spans="1:25" s="201" customFormat="1" x14ac:dyDescent="0.2">
      <c r="A39" s="164"/>
      <c r="B39" s="211"/>
      <c r="C39" s="207"/>
      <c r="D39" s="207"/>
      <c r="E39" s="208"/>
      <c r="F39" s="183"/>
      <c r="G39" s="208"/>
      <c r="H39" s="165"/>
      <c r="I39" s="164"/>
      <c r="J39" s="166"/>
      <c r="K39" s="167"/>
      <c r="L39" s="166"/>
      <c r="M39" s="185"/>
      <c r="N39" s="186"/>
      <c r="O39" s="186"/>
      <c r="P39" s="209"/>
      <c r="Q39" s="188"/>
      <c r="R39" s="168"/>
      <c r="S39" s="168"/>
      <c r="T39" s="169"/>
      <c r="U39" s="169"/>
      <c r="V39" s="189"/>
      <c r="W39" s="189"/>
      <c r="X39" s="189"/>
      <c r="Y39" s="190"/>
    </row>
    <row r="40" spans="1:25" s="201" customFormat="1" x14ac:dyDescent="0.2">
      <c r="A40" s="164"/>
      <c r="B40" s="211"/>
      <c r="C40" s="207"/>
      <c r="D40" s="207"/>
      <c r="E40" s="208"/>
      <c r="F40" s="183"/>
      <c r="G40" s="208"/>
      <c r="H40" s="165"/>
      <c r="I40" s="164"/>
      <c r="J40" s="166"/>
      <c r="K40" s="167"/>
      <c r="L40" s="166"/>
      <c r="M40" s="185"/>
      <c r="N40" s="186"/>
      <c r="O40" s="186"/>
      <c r="P40" s="209"/>
      <c r="Q40" s="188"/>
      <c r="R40" s="168"/>
      <c r="S40" s="168"/>
      <c r="T40" s="169"/>
      <c r="U40" s="169"/>
      <c r="V40" s="189"/>
      <c r="W40" s="189"/>
      <c r="X40" s="189"/>
      <c r="Y40" s="190"/>
    </row>
    <row r="41" spans="1:25" s="201" customFormat="1" x14ac:dyDescent="0.2">
      <c r="A41" s="164"/>
      <c r="B41" s="211"/>
      <c r="C41" s="207"/>
      <c r="D41" s="207"/>
      <c r="E41" s="208"/>
      <c r="F41" s="183"/>
      <c r="G41" s="208"/>
      <c r="H41" s="165"/>
      <c r="I41" s="164"/>
      <c r="J41" s="166"/>
      <c r="K41" s="167"/>
      <c r="L41" s="166"/>
      <c r="M41" s="185"/>
      <c r="N41" s="186"/>
      <c r="O41" s="186"/>
      <c r="P41" s="209"/>
      <c r="Q41" s="188"/>
      <c r="R41" s="168"/>
      <c r="S41" s="168"/>
      <c r="T41" s="169"/>
      <c r="U41" s="169"/>
      <c r="V41" s="189"/>
      <c r="W41" s="189"/>
      <c r="X41" s="189"/>
      <c r="Y41" s="190"/>
    </row>
    <row r="42" spans="1:25" s="201" customFormat="1" x14ac:dyDescent="0.2">
      <c r="A42" s="164"/>
      <c r="B42" s="211"/>
      <c r="C42" s="207"/>
      <c r="D42" s="207"/>
      <c r="E42" s="208"/>
      <c r="F42" s="183"/>
      <c r="G42" s="208"/>
      <c r="H42" s="165"/>
      <c r="I42" s="164"/>
      <c r="J42" s="166"/>
      <c r="K42" s="167"/>
      <c r="L42" s="166"/>
      <c r="M42" s="185"/>
      <c r="N42" s="186"/>
      <c r="O42" s="186"/>
      <c r="P42" s="209"/>
      <c r="Q42" s="188"/>
      <c r="R42" s="168"/>
      <c r="S42" s="168"/>
      <c r="T42" s="169"/>
      <c r="U42" s="169"/>
      <c r="V42" s="189"/>
      <c r="W42" s="189"/>
      <c r="X42" s="189"/>
      <c r="Y42" s="190"/>
    </row>
    <row r="43" spans="1:25" s="201" customFormat="1" x14ac:dyDescent="0.2">
      <c r="A43" s="164"/>
      <c r="B43" s="211"/>
      <c r="C43" s="207"/>
      <c r="D43" s="207"/>
      <c r="E43" s="208"/>
      <c r="F43" s="183"/>
      <c r="G43" s="208"/>
      <c r="H43" s="165"/>
      <c r="I43" s="164"/>
      <c r="J43" s="166"/>
      <c r="K43" s="167"/>
      <c r="L43" s="166"/>
      <c r="M43" s="185"/>
      <c r="N43" s="186"/>
      <c r="O43" s="186"/>
      <c r="P43" s="209"/>
      <c r="Q43" s="188"/>
      <c r="R43" s="168"/>
      <c r="S43" s="168"/>
      <c r="T43" s="169"/>
      <c r="U43" s="169"/>
      <c r="V43" s="189"/>
      <c r="W43" s="189"/>
      <c r="X43" s="189"/>
      <c r="Y43" s="190"/>
    </row>
    <row r="44" spans="1:25" s="201" customFormat="1" x14ac:dyDescent="0.2">
      <c r="A44" s="164"/>
      <c r="B44" s="211"/>
      <c r="C44" s="207"/>
      <c r="D44" s="207"/>
      <c r="E44" s="208"/>
      <c r="F44" s="183"/>
      <c r="G44" s="208"/>
      <c r="H44" s="165"/>
      <c r="I44" s="164"/>
      <c r="J44" s="166"/>
      <c r="K44" s="167"/>
      <c r="L44" s="166"/>
      <c r="M44" s="185"/>
      <c r="N44" s="186"/>
      <c r="O44" s="186"/>
      <c r="P44" s="209"/>
      <c r="Q44" s="188"/>
      <c r="R44" s="168"/>
      <c r="S44" s="168"/>
      <c r="T44" s="169"/>
      <c r="U44" s="169"/>
      <c r="V44" s="189"/>
      <c r="W44" s="189"/>
      <c r="X44" s="189"/>
      <c r="Y44" s="190"/>
    </row>
    <row r="45" spans="1:25" s="201" customFormat="1" x14ac:dyDescent="0.2">
      <c r="A45" s="164"/>
      <c r="B45" s="211"/>
      <c r="C45" s="207"/>
      <c r="D45" s="207"/>
      <c r="E45" s="208"/>
      <c r="F45" s="183"/>
      <c r="G45" s="208"/>
      <c r="H45" s="165"/>
      <c r="I45" s="164"/>
      <c r="J45" s="166"/>
      <c r="K45" s="167"/>
      <c r="L45" s="166"/>
      <c r="M45" s="185"/>
      <c r="N45" s="186"/>
      <c r="O45" s="186"/>
      <c r="P45" s="209"/>
      <c r="Q45" s="188"/>
      <c r="R45" s="168"/>
      <c r="S45" s="168"/>
      <c r="T45" s="169"/>
      <c r="U45" s="169"/>
      <c r="V45" s="189"/>
      <c r="W45" s="189"/>
      <c r="X45" s="189"/>
      <c r="Y45" s="190"/>
    </row>
    <row r="46" spans="1:25" s="201" customFormat="1" x14ac:dyDescent="0.2">
      <c r="A46" s="164"/>
      <c r="B46" s="211"/>
      <c r="C46" s="207"/>
      <c r="D46" s="207"/>
      <c r="E46" s="208"/>
      <c r="F46" s="183"/>
      <c r="G46" s="208"/>
      <c r="H46" s="165"/>
      <c r="I46" s="164"/>
      <c r="J46" s="166"/>
      <c r="K46" s="167"/>
      <c r="L46" s="166"/>
      <c r="M46" s="185"/>
      <c r="N46" s="186"/>
      <c r="O46" s="186"/>
      <c r="P46" s="209"/>
      <c r="Q46" s="188"/>
      <c r="R46" s="168"/>
      <c r="S46" s="168"/>
      <c r="T46" s="169"/>
      <c r="U46" s="169"/>
      <c r="V46" s="189"/>
      <c r="W46" s="189"/>
      <c r="X46" s="189"/>
      <c r="Y46" s="190"/>
    </row>
    <row r="47" spans="1:25" s="201" customFormat="1" x14ac:dyDescent="0.2">
      <c r="A47" s="164"/>
      <c r="B47" s="211"/>
      <c r="C47" s="207"/>
      <c r="D47" s="207"/>
      <c r="E47" s="208"/>
      <c r="F47" s="183"/>
      <c r="G47" s="208"/>
      <c r="H47" s="165"/>
      <c r="I47" s="164"/>
      <c r="J47" s="166"/>
      <c r="K47" s="167"/>
      <c r="L47" s="166"/>
      <c r="M47" s="185"/>
      <c r="N47" s="186"/>
      <c r="O47" s="186"/>
      <c r="P47" s="209"/>
      <c r="Q47" s="188"/>
      <c r="R47" s="168"/>
      <c r="S47" s="168"/>
      <c r="T47" s="169"/>
      <c r="U47" s="169"/>
      <c r="V47" s="189"/>
      <c r="W47" s="189"/>
      <c r="X47" s="189"/>
      <c r="Y47" s="190"/>
    </row>
    <row r="48" spans="1:25" s="201" customFormat="1" x14ac:dyDescent="0.2">
      <c r="A48" s="164"/>
      <c r="B48" s="211"/>
      <c r="C48" s="207"/>
      <c r="D48" s="207"/>
      <c r="E48" s="208"/>
      <c r="F48" s="183"/>
      <c r="G48" s="208"/>
      <c r="H48" s="165"/>
      <c r="I48" s="164"/>
      <c r="J48" s="166"/>
      <c r="K48" s="167"/>
      <c r="L48" s="166"/>
      <c r="M48" s="185"/>
      <c r="N48" s="186"/>
      <c r="O48" s="186"/>
      <c r="P48" s="209"/>
      <c r="Q48" s="188"/>
      <c r="R48" s="168"/>
      <c r="S48" s="168"/>
      <c r="T48" s="169"/>
      <c r="U48" s="169"/>
      <c r="V48" s="189"/>
      <c r="W48" s="189"/>
      <c r="X48" s="189"/>
      <c r="Y48" s="190"/>
    </row>
    <row r="49" spans="1:25" s="201" customFormat="1" x14ac:dyDescent="0.2">
      <c r="A49" s="164"/>
      <c r="B49" s="211"/>
      <c r="C49" s="207"/>
      <c r="D49" s="207"/>
      <c r="E49" s="208"/>
      <c r="F49" s="183"/>
      <c r="G49" s="208"/>
      <c r="H49" s="165"/>
      <c r="I49" s="164"/>
      <c r="J49" s="166"/>
      <c r="K49" s="167"/>
      <c r="L49" s="166"/>
      <c r="M49" s="185"/>
      <c r="N49" s="186"/>
      <c r="O49" s="186"/>
      <c r="P49" s="209"/>
      <c r="Q49" s="188"/>
      <c r="R49" s="168"/>
      <c r="S49" s="168"/>
      <c r="T49" s="169"/>
      <c r="U49" s="169"/>
      <c r="V49" s="189"/>
      <c r="W49" s="189"/>
      <c r="X49" s="189"/>
      <c r="Y49" s="190"/>
    </row>
    <row r="50" spans="1:25" s="201" customFormat="1" x14ac:dyDescent="0.2">
      <c r="A50" s="164"/>
      <c r="B50" s="211"/>
      <c r="C50" s="207"/>
      <c r="D50" s="207"/>
      <c r="E50" s="208"/>
      <c r="F50" s="183"/>
      <c r="G50" s="208"/>
      <c r="H50" s="165"/>
      <c r="I50" s="164"/>
      <c r="J50" s="166"/>
      <c r="K50" s="167"/>
      <c r="L50" s="166"/>
      <c r="M50" s="185"/>
      <c r="N50" s="186"/>
      <c r="O50" s="186"/>
      <c r="P50" s="209"/>
      <c r="Q50" s="188"/>
      <c r="R50" s="168"/>
      <c r="S50" s="168"/>
      <c r="T50" s="169"/>
      <c r="U50" s="169"/>
      <c r="V50" s="189"/>
      <c r="W50" s="189"/>
      <c r="X50" s="189"/>
      <c r="Y50" s="190"/>
    </row>
    <row r="51" spans="1:25" s="201" customFormat="1" x14ac:dyDescent="0.2">
      <c r="A51" s="164"/>
      <c r="B51" s="211"/>
      <c r="C51" s="207"/>
      <c r="D51" s="207"/>
      <c r="E51" s="208"/>
      <c r="F51" s="183"/>
      <c r="G51" s="208"/>
      <c r="H51" s="165"/>
      <c r="I51" s="164"/>
      <c r="J51" s="166"/>
      <c r="K51" s="167"/>
      <c r="L51" s="166"/>
      <c r="M51" s="185"/>
      <c r="N51" s="186"/>
      <c r="O51" s="186"/>
      <c r="P51" s="209"/>
      <c r="Q51" s="188"/>
      <c r="R51" s="168"/>
      <c r="S51" s="168"/>
      <c r="T51" s="169"/>
      <c r="U51" s="169"/>
      <c r="V51" s="189"/>
      <c r="W51" s="189"/>
      <c r="X51" s="189"/>
      <c r="Y51" s="190"/>
    </row>
    <row r="52" spans="1:25" s="201" customFormat="1" x14ac:dyDescent="0.2">
      <c r="A52" s="164"/>
      <c r="B52" s="211"/>
      <c r="C52" s="207"/>
      <c r="D52" s="207"/>
      <c r="E52" s="208"/>
      <c r="F52" s="183"/>
      <c r="G52" s="208"/>
      <c r="H52" s="165"/>
      <c r="I52" s="164"/>
      <c r="J52" s="166"/>
      <c r="K52" s="167"/>
      <c r="L52" s="166"/>
      <c r="M52" s="185"/>
      <c r="N52" s="186"/>
      <c r="O52" s="186"/>
      <c r="P52" s="209"/>
      <c r="Q52" s="188"/>
      <c r="R52" s="168"/>
      <c r="S52" s="168"/>
      <c r="T52" s="169"/>
      <c r="U52" s="169"/>
      <c r="V52" s="189"/>
      <c r="W52" s="189"/>
      <c r="X52" s="189"/>
      <c r="Y52" s="190"/>
    </row>
    <row r="53" spans="1:25" s="201" customFormat="1" x14ac:dyDescent="0.2">
      <c r="A53" s="164"/>
      <c r="B53" s="211"/>
      <c r="C53" s="207"/>
      <c r="D53" s="207"/>
      <c r="E53" s="208"/>
      <c r="F53" s="183"/>
      <c r="G53" s="208"/>
      <c r="H53" s="165"/>
      <c r="I53" s="164"/>
      <c r="J53" s="166"/>
      <c r="K53" s="167"/>
      <c r="L53" s="166"/>
      <c r="M53" s="185"/>
      <c r="N53" s="186"/>
      <c r="O53" s="186"/>
      <c r="P53" s="209"/>
      <c r="Q53" s="188"/>
      <c r="R53" s="168"/>
      <c r="S53" s="168"/>
      <c r="T53" s="169"/>
      <c r="U53" s="169"/>
      <c r="V53" s="189"/>
      <c r="W53" s="189"/>
      <c r="X53" s="189"/>
      <c r="Y53" s="190"/>
    </row>
    <row r="54" spans="1:25" s="201" customFormat="1" x14ac:dyDescent="0.2">
      <c r="A54" s="164"/>
      <c r="B54" s="211"/>
      <c r="C54" s="207"/>
      <c r="D54" s="207"/>
      <c r="E54" s="208"/>
      <c r="F54" s="183"/>
      <c r="G54" s="208"/>
      <c r="H54" s="165"/>
      <c r="I54" s="164"/>
      <c r="J54" s="166"/>
      <c r="K54" s="167"/>
      <c r="L54" s="166"/>
      <c r="M54" s="185"/>
      <c r="N54" s="186"/>
      <c r="O54" s="186"/>
      <c r="P54" s="209"/>
      <c r="Q54" s="188"/>
      <c r="R54" s="168"/>
      <c r="S54" s="168"/>
      <c r="T54" s="169"/>
      <c r="U54" s="169"/>
      <c r="V54" s="189"/>
      <c r="W54" s="189"/>
      <c r="X54" s="189"/>
      <c r="Y54" s="190"/>
    </row>
    <row r="55" spans="1:25" s="201" customFormat="1" x14ac:dyDescent="0.2">
      <c r="A55" s="164"/>
      <c r="B55" s="211"/>
      <c r="C55" s="207"/>
      <c r="D55" s="207"/>
      <c r="E55" s="208"/>
      <c r="F55" s="183"/>
      <c r="G55" s="208"/>
      <c r="H55" s="165"/>
      <c r="I55" s="164"/>
      <c r="J55" s="166"/>
      <c r="K55" s="167"/>
      <c r="L55" s="166"/>
      <c r="M55" s="185"/>
      <c r="N55" s="186"/>
      <c r="O55" s="186"/>
      <c r="P55" s="209"/>
      <c r="Q55" s="188"/>
      <c r="R55" s="168"/>
      <c r="S55" s="168"/>
      <c r="T55" s="169"/>
      <c r="U55" s="169"/>
      <c r="V55" s="189"/>
      <c r="W55" s="189"/>
      <c r="X55" s="189"/>
      <c r="Y55" s="190"/>
    </row>
    <row r="56" spans="1:25" s="201" customFormat="1" x14ac:dyDescent="0.2">
      <c r="A56" s="164"/>
      <c r="B56" s="211"/>
      <c r="C56" s="207"/>
      <c r="D56" s="207"/>
      <c r="E56" s="208"/>
      <c r="F56" s="183"/>
      <c r="G56" s="208"/>
      <c r="H56" s="165"/>
      <c r="I56" s="164"/>
      <c r="J56" s="166"/>
      <c r="K56" s="167"/>
      <c r="L56" s="166"/>
      <c r="M56" s="185"/>
      <c r="N56" s="186"/>
      <c r="O56" s="186"/>
      <c r="P56" s="209"/>
      <c r="Q56" s="188"/>
      <c r="R56" s="168"/>
      <c r="S56" s="168"/>
      <c r="T56" s="169"/>
      <c r="U56" s="169"/>
      <c r="V56" s="189"/>
      <c r="W56" s="189"/>
      <c r="X56" s="189"/>
      <c r="Y56" s="190"/>
    </row>
    <row r="57" spans="1:25" s="201" customFormat="1" x14ac:dyDescent="0.2">
      <c r="A57" s="164"/>
      <c r="B57" s="211"/>
      <c r="C57" s="207"/>
      <c r="D57" s="207"/>
      <c r="E57" s="208"/>
      <c r="F57" s="183"/>
      <c r="G57" s="208"/>
      <c r="H57" s="165"/>
      <c r="I57" s="164"/>
      <c r="J57" s="166"/>
      <c r="K57" s="167"/>
      <c r="L57" s="166"/>
      <c r="M57" s="185"/>
      <c r="N57" s="186"/>
      <c r="O57" s="186"/>
      <c r="P57" s="209"/>
      <c r="Q57" s="188"/>
      <c r="R57" s="168"/>
      <c r="S57" s="168"/>
      <c r="T57" s="169"/>
      <c r="U57" s="169"/>
      <c r="V57" s="189"/>
      <c r="W57" s="189"/>
      <c r="X57" s="189"/>
      <c r="Y57" s="190"/>
    </row>
    <row r="58" spans="1:25" s="201" customFormat="1" x14ac:dyDescent="0.2">
      <c r="A58" s="164"/>
      <c r="B58" s="211"/>
      <c r="C58" s="207"/>
      <c r="D58" s="207"/>
      <c r="E58" s="208"/>
      <c r="F58" s="183"/>
      <c r="G58" s="208"/>
      <c r="H58" s="165"/>
      <c r="I58" s="164"/>
      <c r="J58" s="166"/>
      <c r="K58" s="167"/>
      <c r="L58" s="166"/>
      <c r="M58" s="185"/>
      <c r="N58" s="186"/>
      <c r="O58" s="186"/>
      <c r="P58" s="209"/>
      <c r="Q58" s="188"/>
      <c r="R58" s="168"/>
      <c r="S58" s="168"/>
      <c r="T58" s="169"/>
      <c r="U58" s="169"/>
      <c r="V58" s="189"/>
      <c r="W58" s="189"/>
      <c r="X58" s="189"/>
      <c r="Y58" s="190"/>
    </row>
    <row r="59" spans="1:25" s="201" customFormat="1" x14ac:dyDescent="0.2">
      <c r="A59" s="164"/>
      <c r="B59" s="211"/>
      <c r="C59" s="207"/>
      <c r="D59" s="207"/>
      <c r="E59" s="208"/>
      <c r="F59" s="183"/>
      <c r="G59" s="208"/>
      <c r="H59" s="165"/>
      <c r="I59" s="164"/>
      <c r="J59" s="166"/>
      <c r="K59" s="167"/>
      <c r="L59" s="166"/>
      <c r="M59" s="185"/>
      <c r="N59" s="186"/>
      <c r="O59" s="186"/>
      <c r="P59" s="209"/>
      <c r="Q59" s="188"/>
      <c r="R59" s="168"/>
      <c r="S59" s="168"/>
      <c r="T59" s="169"/>
      <c r="U59" s="169"/>
      <c r="V59" s="189"/>
      <c r="W59" s="189"/>
      <c r="X59" s="189"/>
      <c r="Y59" s="190"/>
    </row>
    <row r="60" spans="1:25" s="201" customFormat="1" x14ac:dyDescent="0.2">
      <c r="A60" s="164"/>
      <c r="B60" s="211"/>
      <c r="C60" s="207"/>
      <c r="D60" s="207"/>
      <c r="E60" s="208"/>
      <c r="F60" s="183"/>
      <c r="G60" s="208"/>
      <c r="H60" s="165"/>
      <c r="I60" s="164"/>
      <c r="J60" s="166"/>
      <c r="K60" s="167"/>
      <c r="L60" s="166"/>
      <c r="M60" s="185"/>
      <c r="N60" s="186"/>
      <c r="O60" s="186"/>
      <c r="P60" s="209"/>
      <c r="Q60" s="188"/>
      <c r="R60" s="168"/>
      <c r="S60" s="168"/>
      <c r="T60" s="169"/>
      <c r="U60" s="169"/>
      <c r="V60" s="189"/>
      <c r="W60" s="189"/>
      <c r="X60" s="189"/>
      <c r="Y60" s="190"/>
    </row>
    <row r="61" spans="1:25" s="201" customFormat="1" x14ac:dyDescent="0.2">
      <c r="C61" s="212"/>
      <c r="D61" s="212"/>
      <c r="P61" s="213">
        <f t="shared" ref="P61:Y61" si="17">SUM(P7:P60)</f>
        <v>1318936.04</v>
      </c>
      <c r="Q61" s="214">
        <f t="shared" si="17"/>
        <v>131893.60400000002</v>
      </c>
      <c r="R61" s="214">
        <f t="shared" si="17"/>
        <v>1187042.4359999995</v>
      </c>
      <c r="S61" s="214">
        <f t="shared" si="17"/>
        <v>235286.84879999989</v>
      </c>
      <c r="T61" s="214">
        <f t="shared" si="17"/>
        <v>39321.911717260278</v>
      </c>
      <c r="U61" s="214">
        <f t="shared" si="17"/>
        <v>644.62150356164386</v>
      </c>
      <c r="V61" s="215">
        <f t="shared" si="17"/>
        <v>277057.44447780825</v>
      </c>
      <c r="W61" s="214">
        <f t="shared" si="17"/>
        <v>909984.99152219167</v>
      </c>
      <c r="X61" s="214">
        <f t="shared" si="17"/>
        <v>1041878.595522192</v>
      </c>
      <c r="Y61" s="214">
        <f t="shared" si="17"/>
        <v>78255.147708493154</v>
      </c>
    </row>
    <row r="62" spans="1:25" s="201" customFormat="1" x14ac:dyDescent="0.2">
      <c r="C62" s="212"/>
      <c r="D62" s="212"/>
      <c r="P62" s="216"/>
    </row>
    <row r="63" spans="1:25" s="201" customFormat="1" x14ac:dyDescent="0.2">
      <c r="C63" s="212"/>
      <c r="D63" s="212"/>
      <c r="P63" s="605"/>
      <c r="Q63" s="605"/>
      <c r="R63" s="605"/>
      <c r="S63" s="605"/>
      <c r="T63" s="605"/>
      <c r="U63" s="605"/>
      <c r="V63" s="605"/>
      <c r="W63" s="605"/>
      <c r="X63" s="605"/>
      <c r="Y63" s="605"/>
    </row>
    <row r="64" spans="1:25" x14ac:dyDescent="0.2">
      <c r="P64" s="605"/>
      <c r="Q64" s="605"/>
      <c r="R64" s="605"/>
      <c r="S64" s="605"/>
      <c r="T64" s="605"/>
      <c r="U64" s="605"/>
      <c r="V64" s="605"/>
      <c r="W64" s="605"/>
      <c r="X64" s="605"/>
      <c r="Y64" s="605"/>
    </row>
    <row r="68" spans="16:25" x14ac:dyDescent="0.2">
      <c r="P68" s="161"/>
      <c r="Q68" s="162"/>
      <c r="R68" s="162"/>
      <c r="S68" s="162"/>
      <c r="T68" s="162"/>
      <c r="U68" s="162"/>
      <c r="V68" s="162"/>
      <c r="W68" s="162"/>
      <c r="X68" s="162"/>
      <c r="Y68" s="162"/>
    </row>
    <row r="69" spans="16:25" x14ac:dyDescent="0.2">
      <c r="P69" s="161"/>
      <c r="Q69" s="162"/>
      <c r="R69" s="162"/>
      <c r="S69" s="162"/>
      <c r="T69" s="162"/>
      <c r="U69" s="162"/>
      <c r="V69" s="162"/>
      <c r="W69" s="162"/>
      <c r="X69" s="162"/>
      <c r="Y69" s="162"/>
    </row>
  </sheetData>
  <mergeCells count="2">
    <mergeCell ref="P63:Y64"/>
    <mergeCell ref="A5:D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MARZO 2017</vt:lpstr>
      <vt:lpstr>JULIO</vt:lpstr>
      <vt:lpstr>septiembre</vt:lpstr>
      <vt:lpstr>Diciembre</vt:lpstr>
      <vt:lpstr>Depreciación ORIGINAL </vt:lpstr>
      <vt:lpstr>Diciembre!Área_de_impresión</vt:lpstr>
      <vt:lpstr>JULIO!Área_de_impresión</vt:lpstr>
      <vt:lpstr>'MARZO 2017'!Área_de_impresión</vt:lpstr>
      <vt:lpstr>septiembre!Área_de_impresión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edrender</dc:creator>
  <cp:lastModifiedBy>Daniel Eliseo Martinez Taura</cp:lastModifiedBy>
  <cp:lastPrinted>2018-02-21T19:22:35Z</cp:lastPrinted>
  <dcterms:created xsi:type="dcterms:W3CDTF">2011-07-12T13:24:46Z</dcterms:created>
  <dcterms:modified xsi:type="dcterms:W3CDTF">2018-07-05T02:56:59Z</dcterms:modified>
</cp:coreProperties>
</file>