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chartsheets/sheet3.xml" ContentType="application/vnd.openxmlformats-officedocument.spreadsheetml.chartsheet+xml"/>
  <Override PartName="/xl/worksheets/sheet33.xml" ContentType="application/vnd.openxmlformats-officedocument.spreadsheetml.worksheet+xml"/>
  <Override PartName="/xl/chartsheets/sheet4.xml" ContentType="application/vnd.openxmlformats-officedocument.spreadsheetml.chartsheet+xml"/>
  <Override PartName="/xl/worksheets/sheet34.xml" ContentType="application/vnd.openxmlformats-officedocument.spreadsheetml.worksheet+xml"/>
  <Override PartName="/xl/chartsheets/sheet5.xml" ContentType="application/vnd.openxmlformats-officedocument.spreadsheetml.chartsheet+xml"/>
  <Override PartName="/xl/worksheets/sheet35.xml" ContentType="application/vnd.openxmlformats-officedocument.spreadsheetml.worksheet+xml"/>
  <Override PartName="/xl/chartsheets/sheet6.xml" ContentType="application/vnd.openxmlformats-officedocument.spreadsheetml.chart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chartsheets/sheet7.xml" ContentType="application/vnd.openxmlformats-officedocument.spreadsheetml.chart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chartsheets/sheet8.xml" ContentType="application/vnd.openxmlformats-officedocument.spreadsheetml.chart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chartsheets/sheet9.xml" ContentType="application/vnd.openxmlformats-officedocument.spreadsheetml.chart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navarro\Documents\AVISOS DE MH\DGPEF\Estadística fiscales\octubre\"/>
    </mc:Choice>
  </mc:AlternateContent>
  <bookViews>
    <workbookView xWindow="0" yWindow="0" windowWidth="28800" windowHeight="12300"/>
  </bookViews>
  <sheets>
    <sheet name="Indice" sheetId="1" r:id="rId1"/>
    <sheet name="7" sheetId="103" r:id="rId2"/>
    <sheet name="8" sheetId="102" r:id="rId3"/>
    <sheet name="I Situación Financiera" sheetId="2" r:id="rId4"/>
    <sheet name="10, 11" sheetId="3" r:id="rId5"/>
    <sheet name="12 Gráfico" sheetId="65" r:id="rId6"/>
    <sheet name="12 dat" sheetId="64" r:id="rId7"/>
    <sheet name="13 Gráfico" sheetId="68" r:id="rId8"/>
    <sheet name="13 dat" sheetId="67" r:id="rId9"/>
    <sheet name="SPNF09" sheetId="6" r:id="rId10"/>
    <sheet name="SPNF10" sheetId="7" r:id="rId11"/>
    <sheet name="SPNF11" sheetId="58" r:id="rId12"/>
    <sheet name="SPNF12" sheetId="8" r:id="rId13"/>
    <sheet name="SPNF13" sheetId="9" r:id="rId14"/>
    <sheet name="14" sheetId="10" r:id="rId15"/>
    <sheet name="15" sheetId="11" r:id="rId16"/>
    <sheet name="16" sheetId="12" r:id="rId17"/>
    <sheet name="17" sheetId="60" r:id="rId18"/>
    <sheet name="18" sheetId="95" r:id="rId19"/>
    <sheet name="19, 20" sheetId="97" r:id="rId20"/>
    <sheet name="21" sheetId="13" r:id="rId21"/>
    <sheet name="GC09" sheetId="14" r:id="rId22"/>
    <sheet name="GC10" sheetId="15" r:id="rId23"/>
    <sheet name="GC11" sheetId="16" r:id="rId24"/>
    <sheet name="GC12" sheetId="17" r:id="rId25"/>
    <sheet name="GC13" sheetId="18" r:id="rId26"/>
    <sheet name="22" sheetId="57" r:id="rId27"/>
    <sheet name="23" sheetId="20" r:id="rId28"/>
    <sheet name="24" sheetId="19" r:id="rId29"/>
    <sheet name="25" sheetId="61" r:id="rId30"/>
    <sheet name="26" sheetId="94" r:id="rId31"/>
    <sheet name="27" sheetId="98" r:id="rId32"/>
    <sheet name="II Ings Fiscales" sheetId="21" r:id="rId33"/>
    <sheet name="29, 30" sheetId="56" r:id="rId34"/>
    <sheet name="31 Gráfico" sheetId="73" r:id="rId35"/>
    <sheet name="31 dat" sheetId="69" r:id="rId36"/>
    <sheet name="32 Gráfico" sheetId="74" r:id="rId37"/>
    <sheet name="32 dat" sheetId="72" r:id="rId38"/>
    <sheet name="33 Gráfico" sheetId="77" r:id="rId39"/>
    <sheet name="33 dat" sheetId="76" r:id="rId40"/>
    <sheet name="34 Gráfico" sheetId="80" r:id="rId41"/>
    <sheet name="34 dat" sheetId="79" r:id="rId42"/>
    <sheet name="IGC09" sheetId="26" r:id="rId43"/>
    <sheet name="IGC10" sheetId="55" r:id="rId44"/>
    <sheet name="IGC11" sheetId="27" r:id="rId45"/>
    <sheet name="IGC12" sheetId="28" r:id="rId46"/>
    <sheet name="IGC13" sheetId="29" r:id="rId47"/>
    <sheet name="35" sheetId="30" r:id="rId48"/>
    <sheet name="36" sheetId="31" r:id="rId49"/>
    <sheet name="37" sheetId="32" r:id="rId50"/>
    <sheet name="38" sheetId="62" r:id="rId51"/>
    <sheet name="39" sheetId="93" r:id="rId52"/>
    <sheet name="40" sheetId="99" r:id="rId53"/>
    <sheet name="41, 42, 43" sheetId="33" r:id="rId54"/>
    <sheet name="III Ejec Pto" sheetId="34" r:id="rId55"/>
    <sheet name="45" sheetId="35" r:id="rId56"/>
    <sheet name="46 Gráfico" sheetId="83" r:id="rId57"/>
    <sheet name="46 dat" sheetId="82" r:id="rId58"/>
    <sheet name="47" sheetId="37" r:id="rId59"/>
    <sheet name="48" sheetId="38" r:id="rId60"/>
    <sheet name="49" sheetId="39" r:id="rId61"/>
    <sheet name="50" sheetId="40" r:id="rId62"/>
    <sheet name="51" sheetId="41" r:id="rId63"/>
    <sheet name="52" sheetId="92" r:id="rId64"/>
    <sheet name="IV Inversion" sheetId="42" r:id="rId65"/>
    <sheet name="54 Gráfico" sheetId="86" r:id="rId66"/>
    <sheet name="54 dat" sheetId="84" r:id="rId67"/>
    <sheet name="55" sheetId="44" r:id="rId68"/>
    <sheet name="56" sheetId="45" r:id="rId69"/>
    <sheet name="V Deuda" sheetId="46" r:id="rId70"/>
    <sheet name="58" sheetId="47" r:id="rId71"/>
    <sheet name="59" sheetId="48" r:id="rId72"/>
    <sheet name="60 Gráfico" sheetId="89" r:id="rId73"/>
    <sheet name="60 dat" sheetId="87" r:id="rId74"/>
    <sheet name="61 Gráfico" sheetId="91" r:id="rId75"/>
    <sheet name="61 dat" sheetId="50" r:id="rId76"/>
    <sheet name="62" sheetId="51" r:id="rId77"/>
    <sheet name="63" sheetId="96" r:id="rId7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48" l="1"/>
  <c r="F18" i="48"/>
  <c r="D17" i="48"/>
  <c r="D18" i="48"/>
  <c r="E14" i="48"/>
  <c r="C14" i="48"/>
  <c r="P22" i="96" l="1"/>
  <c r="Q22" i="96" s="1"/>
  <c r="O22" i="96"/>
  <c r="N22" i="96"/>
  <c r="T105" i="39" l="1"/>
  <c r="T126" i="39"/>
  <c r="T125" i="39"/>
  <c r="T124" i="39"/>
  <c r="T121" i="39"/>
  <c r="T120" i="39"/>
  <c r="T119" i="39"/>
  <c r="T118" i="39"/>
  <c r="T117" i="39"/>
  <c r="T116" i="39"/>
  <c r="T114" i="39"/>
  <c r="T113" i="39"/>
  <c r="T112" i="39"/>
  <c r="T110" i="39"/>
  <c r="T109" i="39"/>
  <c r="T108" i="39"/>
  <c r="T107" i="39"/>
  <c r="T106" i="39"/>
  <c r="T104" i="39"/>
  <c r="T103" i="39"/>
  <c r="T102" i="39"/>
  <c r="T101" i="39"/>
  <c r="T100" i="39"/>
  <c r="T99" i="39"/>
  <c r="T98" i="39"/>
  <c r="T97" i="39"/>
  <c r="T96" i="39"/>
  <c r="T94" i="39"/>
  <c r="T93" i="39" s="1"/>
  <c r="T92" i="39"/>
  <c r="T91" i="39" s="1"/>
  <c r="T38" i="39"/>
  <c r="T30" i="39"/>
  <c r="T26" i="39"/>
  <c r="T10" i="39"/>
  <c r="T8" i="39"/>
  <c r="T6" i="39"/>
  <c r="F28" i="40"/>
  <c r="F15" i="38"/>
  <c r="T111" i="39" l="1"/>
  <c r="T123" i="39"/>
  <c r="T115" i="39"/>
  <c r="T37" i="39"/>
  <c r="T42" i="39" s="1"/>
  <c r="T64" i="39" s="1"/>
  <c r="T95" i="39"/>
  <c r="H71" i="98"/>
  <c r="G71" i="98"/>
  <c r="F71" i="98"/>
  <c r="E71" i="98"/>
  <c r="D71" i="98"/>
  <c r="C71" i="98"/>
  <c r="V12" i="79"/>
  <c r="V8" i="76"/>
  <c r="V20" i="76"/>
  <c r="V11" i="76" s="1"/>
  <c r="V11" i="72"/>
  <c r="V10" i="72"/>
  <c r="V9" i="72"/>
  <c r="V8" i="72"/>
  <c r="V7" i="72"/>
  <c r="V6" i="72"/>
  <c r="V28" i="72"/>
  <c r="V9" i="76" l="1"/>
  <c r="T76" i="39"/>
  <c r="V6" i="76"/>
  <c r="V10" i="76"/>
  <c r="T77" i="39"/>
  <c r="T63" i="39"/>
  <c r="V7" i="76"/>
  <c r="T52" i="39"/>
  <c r="T51" i="39" s="1"/>
  <c r="T70" i="39"/>
  <c r="T79" i="39"/>
  <c r="T50" i="39"/>
  <c r="T49" i="39" s="1"/>
  <c r="T62" i="39"/>
  <c r="T67" i="39"/>
  <c r="T66" i="39"/>
  <c r="T71" i="39"/>
  <c r="T122" i="39"/>
  <c r="T127" i="39" s="1"/>
  <c r="T68" i="39"/>
  <c r="T60" i="39"/>
  <c r="T74" i="39"/>
  <c r="T59" i="39"/>
  <c r="T54" i="39"/>
  <c r="T72" i="39"/>
  <c r="T57" i="39"/>
  <c r="T82" i="39"/>
  <c r="T58" i="39"/>
  <c r="T65" i="39"/>
  <c r="T56" i="39"/>
  <c r="T55" i="39"/>
  <c r="T84" i="39"/>
  <c r="T61" i="39"/>
  <c r="T78" i="39"/>
  <c r="T75" i="39"/>
  <c r="T83" i="39"/>
  <c r="AF7" i="69"/>
  <c r="AE7" i="64"/>
  <c r="AE9" i="64" s="1"/>
  <c r="AD7" i="64"/>
  <c r="AE7" i="67"/>
  <c r="AE8" i="67"/>
  <c r="AE9" i="67"/>
  <c r="AE8" i="64"/>
  <c r="T81" i="39" l="1"/>
  <c r="T69" i="39"/>
  <c r="T73" i="39"/>
  <c r="T53" i="39"/>
  <c r="E79" i="44"/>
  <c r="F79" i="44"/>
  <c r="E68" i="44"/>
  <c r="F68" i="44"/>
  <c r="F54" i="44"/>
  <c r="E54" i="44"/>
  <c r="F53" i="44"/>
  <c r="E53" i="44"/>
  <c r="F52" i="44"/>
  <c r="E52" i="44"/>
  <c r="F51" i="44"/>
  <c r="E51" i="44"/>
  <c r="F50" i="44"/>
  <c r="E50" i="44"/>
  <c r="F49" i="44"/>
  <c r="E49" i="44"/>
  <c r="F48" i="44"/>
  <c r="E48" i="44"/>
  <c r="F47" i="44"/>
  <c r="E47" i="44"/>
  <c r="F17" i="44"/>
  <c r="E17" i="44"/>
  <c r="T80" i="39" l="1"/>
  <c r="T85" i="39" s="1"/>
  <c r="V6" i="84"/>
  <c r="C39" i="48" l="1"/>
  <c r="C44" i="48"/>
  <c r="AA39" i="48" l="1"/>
  <c r="AA40" i="48"/>
  <c r="AA41" i="48"/>
  <c r="AA42" i="48"/>
  <c r="AA43" i="48"/>
  <c r="AA44" i="48"/>
  <c r="AA45" i="48"/>
  <c r="AA46" i="48"/>
  <c r="AA47" i="48"/>
  <c r="AA38" i="48"/>
  <c r="E39" i="48" l="1"/>
  <c r="E44" i="48"/>
  <c r="C41" i="48"/>
  <c r="E33" i="48" l="1"/>
  <c r="C33" i="48"/>
  <c r="E27" i="48"/>
  <c r="C27" i="48"/>
  <c r="AF8" i="87"/>
  <c r="AF7" i="87"/>
  <c r="AF9" i="87" s="1"/>
  <c r="AG50" i="47"/>
  <c r="AH50" i="47" s="1"/>
  <c r="AH64" i="47"/>
  <c r="AH62" i="47"/>
  <c r="AG61" i="47"/>
  <c r="AH61" i="47" s="1"/>
  <c r="AH55" i="47"/>
  <c r="AH54" i="47"/>
  <c r="AH52" i="47"/>
  <c r="AH51" i="47"/>
  <c r="AH48" i="47"/>
  <c r="AH47" i="47"/>
  <c r="AH46" i="47"/>
  <c r="AG45" i="47"/>
  <c r="AG43" i="47" l="1"/>
  <c r="AH43" i="47" s="1"/>
  <c r="AH45" i="47"/>
  <c r="AG65" i="47" l="1"/>
  <c r="AH65" i="47" s="1"/>
  <c r="G474" i="51" l="1"/>
  <c r="F474" i="51"/>
  <c r="D474" i="51"/>
  <c r="C474" i="51"/>
  <c r="H432" i="51"/>
  <c r="H433" i="51" s="1"/>
  <c r="H434" i="51" s="1"/>
  <c r="H435" i="51" s="1"/>
  <c r="H436" i="51" s="1"/>
  <c r="H437" i="51" s="1"/>
  <c r="H438" i="51" s="1"/>
  <c r="H439" i="51" s="1"/>
  <c r="H440" i="51" s="1"/>
  <c r="H441" i="51" s="1"/>
  <c r="H442" i="51" s="1"/>
  <c r="H443" i="51" s="1"/>
  <c r="E432" i="51"/>
  <c r="E433" i="51" s="1"/>
  <c r="E434" i="51" s="1"/>
  <c r="E435" i="51" s="1"/>
  <c r="E436" i="51" s="1"/>
  <c r="E437" i="51" s="1"/>
  <c r="E438" i="51" s="1"/>
  <c r="E439" i="51" s="1"/>
  <c r="E440" i="51" s="1"/>
  <c r="E441" i="51" s="1"/>
  <c r="E442" i="51" s="1"/>
  <c r="E443" i="51" s="1"/>
  <c r="M13" i="92" l="1"/>
  <c r="L13" i="92"/>
  <c r="K13" i="92"/>
  <c r="J13" i="92"/>
  <c r="L22" i="92" l="1"/>
  <c r="V20" i="41"/>
  <c r="V8" i="41"/>
  <c r="V11" i="41" s="1"/>
  <c r="J27" i="35"/>
  <c r="Q122" i="33"/>
  <c r="Q121" i="33"/>
  <c r="Q119" i="33"/>
  <c r="Q118" i="33"/>
  <c r="Q117" i="33"/>
  <c r="Q116" i="33"/>
  <c r="Q114" i="33"/>
  <c r="Q113" i="33"/>
  <c r="Q112" i="33" s="1"/>
  <c r="Q111" i="33"/>
  <c r="Q110" i="33"/>
  <c r="Q109" i="33"/>
  <c r="Q108" i="33"/>
  <c r="Q106" i="33"/>
  <c r="Q105" i="33"/>
  <c r="Q104" i="33"/>
  <c r="Q103" i="33"/>
  <c r="Q102" i="33"/>
  <c r="Q101" i="33"/>
  <c r="Q99" i="33"/>
  <c r="Q98" i="33"/>
  <c r="Q95" i="33" s="1"/>
  <c r="Q97" i="33"/>
  <c r="Q96" i="33"/>
  <c r="Q94" i="33"/>
  <c r="Q93" i="33"/>
  <c r="Q30" i="33"/>
  <c r="Q27" i="33"/>
  <c r="Q22" i="33" s="1"/>
  <c r="V23" i="33" s="1"/>
  <c r="Q15" i="33"/>
  <c r="Q10" i="33"/>
  <c r="Q7" i="33"/>
  <c r="O36" i="99"/>
  <c r="O35" i="99"/>
  <c r="N34" i="99"/>
  <c r="M34" i="99"/>
  <c r="L34" i="99"/>
  <c r="K34" i="99"/>
  <c r="J34" i="99"/>
  <c r="I34" i="99"/>
  <c r="H34" i="99"/>
  <c r="G34" i="99"/>
  <c r="F34" i="99"/>
  <c r="E34" i="99"/>
  <c r="D34" i="99"/>
  <c r="C34" i="99"/>
  <c r="O31" i="99"/>
  <c r="O30" i="99"/>
  <c r="N29" i="99"/>
  <c r="M29" i="99"/>
  <c r="L29" i="99"/>
  <c r="K29" i="99"/>
  <c r="J29" i="99"/>
  <c r="I29" i="99"/>
  <c r="H29" i="99"/>
  <c r="G29" i="99"/>
  <c r="F29" i="99"/>
  <c r="E29" i="99"/>
  <c r="D29" i="99"/>
  <c r="C29" i="99"/>
  <c r="O28" i="99"/>
  <c r="O27" i="99"/>
  <c r="O26" i="99"/>
  <c r="O25" i="99"/>
  <c r="O24" i="99"/>
  <c r="O23" i="99"/>
  <c r="N22" i="99"/>
  <c r="M22" i="99"/>
  <c r="L22" i="99"/>
  <c r="K22" i="99"/>
  <c r="J22" i="99"/>
  <c r="I22" i="99"/>
  <c r="H22" i="99"/>
  <c r="G22" i="99"/>
  <c r="F22" i="99"/>
  <c r="E22" i="99"/>
  <c r="D22" i="99"/>
  <c r="C22" i="99"/>
  <c r="O21" i="99"/>
  <c r="O20" i="99"/>
  <c r="O19" i="99"/>
  <c r="O18" i="99"/>
  <c r="O17" i="99"/>
  <c r="O16" i="99"/>
  <c r="O15" i="99"/>
  <c r="N14" i="99"/>
  <c r="N8" i="99" s="1"/>
  <c r="N7" i="99" s="1"/>
  <c r="N32" i="99" s="1"/>
  <c r="M14" i="99"/>
  <c r="M8" i="99" s="1"/>
  <c r="M7" i="99" s="1"/>
  <c r="M32" i="99" s="1"/>
  <c r="L14" i="99"/>
  <c r="K14" i="99"/>
  <c r="K8" i="99" s="1"/>
  <c r="J14" i="99"/>
  <c r="I14" i="99"/>
  <c r="I8" i="99" s="1"/>
  <c r="I7" i="99" s="1"/>
  <c r="I32" i="99" s="1"/>
  <c r="H14" i="99"/>
  <c r="G14" i="99"/>
  <c r="G8" i="99" s="1"/>
  <c r="F14" i="99"/>
  <c r="F8" i="99" s="1"/>
  <c r="E14" i="99"/>
  <c r="E8" i="99" s="1"/>
  <c r="E7" i="99" s="1"/>
  <c r="D14" i="99"/>
  <c r="C14" i="99"/>
  <c r="AD13" i="99"/>
  <c r="AC13" i="99"/>
  <c r="AB13" i="99"/>
  <c r="AA13" i="99"/>
  <c r="Z13" i="99"/>
  <c r="Y13" i="99"/>
  <c r="X13" i="99"/>
  <c r="W13" i="99"/>
  <c r="V13" i="99"/>
  <c r="U13" i="99"/>
  <c r="T13" i="99"/>
  <c r="S13" i="99"/>
  <c r="O13" i="99"/>
  <c r="O12" i="99"/>
  <c r="AE11" i="99"/>
  <c r="O11" i="99"/>
  <c r="AE10" i="99"/>
  <c r="O10" i="99"/>
  <c r="O9" i="99"/>
  <c r="L8" i="99"/>
  <c r="L7" i="99" s="1"/>
  <c r="J8" i="99"/>
  <c r="J7" i="99" s="1"/>
  <c r="J32" i="99" s="1"/>
  <c r="H8" i="99"/>
  <c r="D8" i="99"/>
  <c r="D7" i="99" s="1"/>
  <c r="V82" i="56"/>
  <c r="V81" i="56"/>
  <c r="V76" i="56"/>
  <c r="V74" i="56"/>
  <c r="V73" i="56"/>
  <c r="V72" i="56"/>
  <c r="V71" i="56"/>
  <c r="V70" i="56"/>
  <c r="V69" i="56"/>
  <c r="V68" i="56"/>
  <c r="V67" i="56"/>
  <c r="V65" i="56"/>
  <c r="V64" i="56"/>
  <c r="V62" i="56"/>
  <c r="V61" i="56"/>
  <c r="V60" i="56"/>
  <c r="V59" i="56"/>
  <c r="V57" i="56"/>
  <c r="V56" i="56"/>
  <c r="V55" i="56"/>
  <c r="V54" i="56"/>
  <c r="V53" i="56"/>
  <c r="V36" i="56"/>
  <c r="V80" i="56" s="1"/>
  <c r="V29" i="56"/>
  <c r="V22" i="56"/>
  <c r="V66" i="56" s="1"/>
  <c r="V14" i="56"/>
  <c r="V8" i="56" s="1"/>
  <c r="V52" i="56" s="1"/>
  <c r="O75" i="98"/>
  <c r="O74" i="98"/>
  <c r="K66" i="98"/>
  <c r="G66" i="98"/>
  <c r="C66" i="98"/>
  <c r="O70" i="98"/>
  <c r="O69" i="98"/>
  <c r="O68" i="98"/>
  <c r="O67" i="98"/>
  <c r="N66" i="98"/>
  <c r="M66" i="98"/>
  <c r="L66" i="98"/>
  <c r="J66" i="98"/>
  <c r="I66" i="98"/>
  <c r="H66" i="98"/>
  <c r="F66" i="98"/>
  <c r="E66" i="98"/>
  <c r="D66" i="98"/>
  <c r="O65" i="98"/>
  <c r="O64" i="98"/>
  <c r="O63" i="98"/>
  <c r="N62" i="98"/>
  <c r="M62" i="98"/>
  <c r="L62" i="98"/>
  <c r="K62" i="98"/>
  <c r="J62" i="98"/>
  <c r="I62" i="98"/>
  <c r="H62" i="98"/>
  <c r="G62" i="98"/>
  <c r="F62" i="98"/>
  <c r="E62" i="98"/>
  <c r="D62" i="98"/>
  <c r="C62" i="98"/>
  <c r="O61" i="98"/>
  <c r="O60" i="98"/>
  <c r="N59" i="98"/>
  <c r="M59" i="98"/>
  <c r="L59" i="98"/>
  <c r="K59" i="98"/>
  <c r="J59" i="98"/>
  <c r="I59" i="98"/>
  <c r="H59" i="98"/>
  <c r="G59" i="98"/>
  <c r="F59" i="98"/>
  <c r="E59" i="98"/>
  <c r="D59" i="98"/>
  <c r="C59" i="98"/>
  <c r="O58" i="98"/>
  <c r="O57" i="98"/>
  <c r="N56" i="98"/>
  <c r="M56" i="98"/>
  <c r="M55" i="98" s="1"/>
  <c r="L56" i="98"/>
  <c r="K56" i="98"/>
  <c r="J56" i="98"/>
  <c r="I56" i="98"/>
  <c r="H56" i="98"/>
  <c r="G56" i="98"/>
  <c r="F56" i="98"/>
  <c r="E56" i="98"/>
  <c r="D56" i="98"/>
  <c r="C56" i="98"/>
  <c r="I55" i="98"/>
  <c r="O54" i="98"/>
  <c r="O53" i="98"/>
  <c r="N52" i="98"/>
  <c r="M52" i="98"/>
  <c r="L52" i="98"/>
  <c r="K52" i="98"/>
  <c r="J52" i="98"/>
  <c r="I52" i="98"/>
  <c r="H52" i="98"/>
  <c r="G52" i="98"/>
  <c r="F52" i="98"/>
  <c r="E52" i="98"/>
  <c r="D52" i="98"/>
  <c r="C52" i="98"/>
  <c r="O46" i="98"/>
  <c r="O45" i="98"/>
  <c r="O44" i="98"/>
  <c r="O43" i="98"/>
  <c r="O42" i="98"/>
  <c r="N41" i="98"/>
  <c r="M41" i="98"/>
  <c r="L41" i="98"/>
  <c r="K41" i="98"/>
  <c r="J41" i="98"/>
  <c r="I41" i="98"/>
  <c r="H41" i="98"/>
  <c r="G41" i="98"/>
  <c r="F41" i="98"/>
  <c r="E41" i="98"/>
  <c r="D41" i="98"/>
  <c r="C41" i="98"/>
  <c r="O40" i="98"/>
  <c r="O39" i="98"/>
  <c r="O38" i="98"/>
  <c r="O37" i="98"/>
  <c r="O36" i="98"/>
  <c r="O35" i="98"/>
  <c r="O34" i="98"/>
  <c r="O33" i="98"/>
  <c r="N32" i="98"/>
  <c r="M32" i="98"/>
  <c r="M30" i="98" s="1"/>
  <c r="L32" i="98"/>
  <c r="K32" i="98"/>
  <c r="J32" i="98"/>
  <c r="I32" i="98"/>
  <c r="I30" i="98" s="1"/>
  <c r="H32" i="98"/>
  <c r="H30" i="98" s="1"/>
  <c r="G32" i="98"/>
  <c r="F32" i="98"/>
  <c r="F30" i="98" s="1"/>
  <c r="E32" i="98"/>
  <c r="E30" i="98" s="1"/>
  <c r="D32" i="98"/>
  <c r="C32" i="98"/>
  <c r="O31" i="98"/>
  <c r="N30" i="98"/>
  <c r="L30" i="98"/>
  <c r="K30" i="98"/>
  <c r="J30" i="98"/>
  <c r="G30" i="98"/>
  <c r="D30" i="98"/>
  <c r="C30" i="98"/>
  <c r="O29" i="98"/>
  <c r="O28" i="98"/>
  <c r="O27" i="98"/>
  <c r="O26" i="98"/>
  <c r="O25" i="98"/>
  <c r="O24" i="98"/>
  <c r="O23" i="98"/>
  <c r="O22" i="98"/>
  <c r="O21" i="98"/>
  <c r="N20" i="98"/>
  <c r="N16" i="98" s="1"/>
  <c r="N15" i="98" s="1"/>
  <c r="M20" i="98"/>
  <c r="L20" i="98"/>
  <c r="K20" i="98"/>
  <c r="K16" i="98" s="1"/>
  <c r="J20" i="98"/>
  <c r="J16" i="98" s="1"/>
  <c r="I20" i="98"/>
  <c r="H20" i="98"/>
  <c r="G20" i="98"/>
  <c r="G16" i="98" s="1"/>
  <c r="F20" i="98"/>
  <c r="F16" i="98" s="1"/>
  <c r="E20" i="98"/>
  <c r="E16" i="98" s="1"/>
  <c r="D20" i="98"/>
  <c r="C20" i="98"/>
  <c r="O19" i="98"/>
  <c r="O18" i="98"/>
  <c r="O17" i="98"/>
  <c r="M16" i="98"/>
  <c r="L16" i="98"/>
  <c r="I16" i="98"/>
  <c r="H16" i="98"/>
  <c r="D16" i="98"/>
  <c r="C16" i="98"/>
  <c r="O14" i="98"/>
  <c r="O13" i="98"/>
  <c r="O12" i="98"/>
  <c r="O11" i="98"/>
  <c r="O10" i="98"/>
  <c r="N9" i="98"/>
  <c r="M9" i="98"/>
  <c r="M47" i="98" s="1"/>
  <c r="L9" i="98"/>
  <c r="L8" i="98" s="1"/>
  <c r="K9" i="98"/>
  <c r="K8" i="98" s="1"/>
  <c r="J9" i="98"/>
  <c r="J8" i="98" s="1"/>
  <c r="I9" i="98"/>
  <c r="I47" i="98" s="1"/>
  <c r="H9" i="98"/>
  <c r="H8" i="98" s="1"/>
  <c r="G9" i="98"/>
  <c r="G8" i="98" s="1"/>
  <c r="F9" i="98"/>
  <c r="F8" i="98" s="1"/>
  <c r="E9" i="98"/>
  <c r="E8" i="98" s="1"/>
  <c r="D9" i="98"/>
  <c r="D8" i="98" s="1"/>
  <c r="C9" i="98"/>
  <c r="N8" i="98"/>
  <c r="M8" i="98"/>
  <c r="V67" i="13"/>
  <c r="V63" i="13"/>
  <c r="V60" i="13"/>
  <c r="V57" i="13"/>
  <c r="V53" i="13"/>
  <c r="V41" i="13"/>
  <c r="V32" i="13"/>
  <c r="V30" i="13" s="1"/>
  <c r="V20" i="13"/>
  <c r="V16" i="13" s="1"/>
  <c r="V9" i="13"/>
  <c r="V8" i="13" s="1"/>
  <c r="N98" i="97"/>
  <c r="M98" i="97"/>
  <c r="L98" i="97"/>
  <c r="K98" i="97"/>
  <c r="J98" i="97"/>
  <c r="I98" i="97"/>
  <c r="H98" i="97"/>
  <c r="G98" i="97"/>
  <c r="F98" i="97"/>
  <c r="E98" i="97"/>
  <c r="D98" i="97"/>
  <c r="C98" i="97"/>
  <c r="N92" i="97"/>
  <c r="M92" i="97"/>
  <c r="L92" i="97"/>
  <c r="K92" i="97"/>
  <c r="J92" i="97"/>
  <c r="I92" i="97"/>
  <c r="H92" i="97"/>
  <c r="G92" i="97"/>
  <c r="F92" i="97"/>
  <c r="E92" i="97"/>
  <c r="D92" i="97"/>
  <c r="C92" i="97"/>
  <c r="N91" i="97"/>
  <c r="M91" i="97"/>
  <c r="L91" i="97"/>
  <c r="K91" i="97"/>
  <c r="J91" i="97"/>
  <c r="I91" i="97"/>
  <c r="H91" i="97"/>
  <c r="G91" i="97"/>
  <c r="F91" i="97"/>
  <c r="E91" i="97"/>
  <c r="D91" i="97"/>
  <c r="C91" i="97"/>
  <c r="N90" i="97"/>
  <c r="M90" i="97"/>
  <c r="L90" i="97"/>
  <c r="K90" i="97"/>
  <c r="J90" i="97"/>
  <c r="I90" i="97"/>
  <c r="H90" i="97"/>
  <c r="G90" i="97"/>
  <c r="F90" i="97"/>
  <c r="E90" i="97"/>
  <c r="D90" i="97"/>
  <c r="C90" i="97"/>
  <c r="N89" i="97"/>
  <c r="M89" i="97"/>
  <c r="L89" i="97"/>
  <c r="K89" i="97"/>
  <c r="J89" i="97"/>
  <c r="I89" i="97"/>
  <c r="H89" i="97"/>
  <c r="G89" i="97"/>
  <c r="F89" i="97"/>
  <c r="E89" i="97"/>
  <c r="D89" i="97"/>
  <c r="C89" i="97"/>
  <c r="N88" i="97"/>
  <c r="M88" i="97"/>
  <c r="L88" i="97"/>
  <c r="K88" i="97"/>
  <c r="J88" i="97"/>
  <c r="I88" i="97"/>
  <c r="H88" i="97"/>
  <c r="G88" i="97"/>
  <c r="F88" i="97"/>
  <c r="E88" i="97"/>
  <c r="D88" i="97"/>
  <c r="C88" i="97"/>
  <c r="N87" i="97"/>
  <c r="M87" i="97"/>
  <c r="L87" i="97"/>
  <c r="K87" i="97"/>
  <c r="J87" i="97"/>
  <c r="I87" i="97"/>
  <c r="H87" i="97"/>
  <c r="G87" i="97"/>
  <c r="F87" i="97"/>
  <c r="E87" i="97"/>
  <c r="D87" i="97"/>
  <c r="C87" i="97"/>
  <c r="N86" i="97"/>
  <c r="M86" i="97"/>
  <c r="L86" i="97"/>
  <c r="K86" i="97"/>
  <c r="J86" i="97"/>
  <c r="I86" i="97"/>
  <c r="H86" i="97"/>
  <c r="G86" i="97"/>
  <c r="F86" i="97"/>
  <c r="E86" i="97"/>
  <c r="D86" i="97"/>
  <c r="C86" i="97"/>
  <c r="N84" i="97"/>
  <c r="M84" i="97"/>
  <c r="L84" i="97"/>
  <c r="K84" i="97"/>
  <c r="J84" i="97"/>
  <c r="I84" i="97"/>
  <c r="H84" i="97"/>
  <c r="G84" i="97"/>
  <c r="F84" i="97"/>
  <c r="E84" i="97"/>
  <c r="D84" i="97"/>
  <c r="C84" i="97"/>
  <c r="N83" i="97"/>
  <c r="M83" i="97"/>
  <c r="L83" i="97"/>
  <c r="K83" i="97"/>
  <c r="J83" i="97"/>
  <c r="I83" i="97"/>
  <c r="H83" i="97"/>
  <c r="G83" i="97"/>
  <c r="F83" i="97"/>
  <c r="E83" i="97"/>
  <c r="D83" i="97"/>
  <c r="C83" i="97"/>
  <c r="N73" i="97"/>
  <c r="M73" i="97"/>
  <c r="L73" i="97"/>
  <c r="K73" i="97"/>
  <c r="J73" i="97"/>
  <c r="I73" i="97"/>
  <c r="H73" i="97"/>
  <c r="G73" i="97"/>
  <c r="F73" i="97"/>
  <c r="E73" i="97"/>
  <c r="D73" i="97"/>
  <c r="C73" i="97"/>
  <c r="N72" i="97"/>
  <c r="M72" i="97"/>
  <c r="L72" i="97"/>
  <c r="K72" i="97"/>
  <c r="J72" i="97"/>
  <c r="I72" i="97"/>
  <c r="H72" i="97"/>
  <c r="G72" i="97"/>
  <c r="F72" i="97"/>
  <c r="E72" i="97"/>
  <c r="D72" i="97"/>
  <c r="C72" i="97"/>
  <c r="N71" i="97"/>
  <c r="M71" i="97"/>
  <c r="L71" i="97"/>
  <c r="K71" i="97"/>
  <c r="J71" i="97"/>
  <c r="I71" i="97"/>
  <c r="H71" i="97"/>
  <c r="G71" i="97"/>
  <c r="F71" i="97"/>
  <c r="E71" i="97"/>
  <c r="D71" i="97"/>
  <c r="C71" i="97"/>
  <c r="N69" i="97"/>
  <c r="M69" i="97"/>
  <c r="L69" i="97"/>
  <c r="K69" i="97"/>
  <c r="J69" i="97"/>
  <c r="I69" i="97"/>
  <c r="H69" i="97"/>
  <c r="G69" i="97"/>
  <c r="F69" i="97"/>
  <c r="E69" i="97"/>
  <c r="D69" i="97"/>
  <c r="C69" i="97"/>
  <c r="N68" i="97"/>
  <c r="M68" i="97"/>
  <c r="L68" i="97"/>
  <c r="K68" i="97"/>
  <c r="J68" i="97"/>
  <c r="I68" i="97"/>
  <c r="H68" i="97"/>
  <c r="G68" i="97"/>
  <c r="F68" i="97"/>
  <c r="E68" i="97"/>
  <c r="D68" i="97"/>
  <c r="C68" i="97"/>
  <c r="N67" i="97"/>
  <c r="M67" i="97"/>
  <c r="L67" i="97"/>
  <c r="K67" i="97"/>
  <c r="J67" i="97"/>
  <c r="I67" i="97"/>
  <c r="H67" i="97"/>
  <c r="G67" i="97"/>
  <c r="F67" i="97"/>
  <c r="E67" i="97"/>
  <c r="D67" i="97"/>
  <c r="C67" i="97"/>
  <c r="N66" i="97"/>
  <c r="M66" i="97"/>
  <c r="L66" i="97"/>
  <c r="K66" i="97"/>
  <c r="J66" i="97"/>
  <c r="I66" i="97"/>
  <c r="H66" i="97"/>
  <c r="G66" i="97"/>
  <c r="F66" i="97"/>
  <c r="E66" i="97"/>
  <c r="D66" i="97"/>
  <c r="C66" i="97"/>
  <c r="N62" i="97"/>
  <c r="M62" i="97"/>
  <c r="L62" i="97"/>
  <c r="K62" i="97"/>
  <c r="J62" i="97"/>
  <c r="I62" i="97"/>
  <c r="H62" i="97"/>
  <c r="G62" i="97"/>
  <c r="F62" i="97"/>
  <c r="E62" i="97"/>
  <c r="D62" i="97"/>
  <c r="C62" i="97"/>
  <c r="N61" i="97"/>
  <c r="M61" i="97"/>
  <c r="L61" i="97"/>
  <c r="K61" i="97"/>
  <c r="J61" i="97"/>
  <c r="I61" i="97"/>
  <c r="H61" i="97"/>
  <c r="G61" i="97"/>
  <c r="F61" i="97"/>
  <c r="E61" i="97"/>
  <c r="D61" i="97"/>
  <c r="C61" i="97"/>
  <c r="N60" i="97"/>
  <c r="M60" i="97"/>
  <c r="L60" i="97"/>
  <c r="K60" i="97"/>
  <c r="J60" i="97"/>
  <c r="I60" i="97"/>
  <c r="H60" i="97"/>
  <c r="G60" i="97"/>
  <c r="F60" i="97"/>
  <c r="E60" i="97"/>
  <c r="D60" i="97"/>
  <c r="C60" i="97"/>
  <c r="N59" i="97"/>
  <c r="M59" i="97"/>
  <c r="L59" i="97"/>
  <c r="K59" i="97"/>
  <c r="J59" i="97"/>
  <c r="I59" i="97"/>
  <c r="H59" i="97"/>
  <c r="G59" i="97"/>
  <c r="F59" i="97"/>
  <c r="E59" i="97"/>
  <c r="D59" i="97"/>
  <c r="C59" i="97"/>
  <c r="N58" i="97"/>
  <c r="M58" i="97"/>
  <c r="L58" i="97"/>
  <c r="K58" i="97"/>
  <c r="J58" i="97"/>
  <c r="I58" i="97"/>
  <c r="H58" i="97"/>
  <c r="G58" i="97"/>
  <c r="F58" i="97"/>
  <c r="E58" i="97"/>
  <c r="D58" i="97"/>
  <c r="C58" i="97"/>
  <c r="O49" i="97"/>
  <c r="O98" i="97" s="1"/>
  <c r="O43" i="97"/>
  <c r="O92" i="97" s="1"/>
  <c r="O42" i="97"/>
  <c r="O91" i="97" s="1"/>
  <c r="O41" i="97"/>
  <c r="O90" i="97" s="1"/>
  <c r="O40" i="97"/>
  <c r="O89" i="97" s="1"/>
  <c r="O39" i="97"/>
  <c r="O88" i="97" s="1"/>
  <c r="O38" i="97"/>
  <c r="O87" i="97" s="1"/>
  <c r="O37" i="97"/>
  <c r="O86" i="97" s="1"/>
  <c r="N36" i="97"/>
  <c r="N85" i="97" s="1"/>
  <c r="M36" i="97"/>
  <c r="M85" i="97" s="1"/>
  <c r="L36" i="97"/>
  <c r="L85" i="97" s="1"/>
  <c r="K36" i="97"/>
  <c r="K85" i="97" s="1"/>
  <c r="J36" i="97"/>
  <c r="J85" i="97" s="1"/>
  <c r="I36" i="97"/>
  <c r="I85" i="97" s="1"/>
  <c r="H36" i="97"/>
  <c r="H85" i="97" s="1"/>
  <c r="G36" i="97"/>
  <c r="G85" i="97" s="1"/>
  <c r="F36" i="97"/>
  <c r="F85" i="97" s="1"/>
  <c r="E36" i="97"/>
  <c r="E85" i="97" s="1"/>
  <c r="D36" i="97"/>
  <c r="D85" i="97" s="1"/>
  <c r="C36" i="97"/>
  <c r="C85" i="97" s="1"/>
  <c r="O35" i="97"/>
  <c r="O84" i="97" s="1"/>
  <c r="O34" i="97"/>
  <c r="O83" i="97" s="1"/>
  <c r="N33" i="97"/>
  <c r="N82" i="97" s="1"/>
  <c r="M33" i="97"/>
  <c r="M82" i="97" s="1"/>
  <c r="L33" i="97"/>
  <c r="L82" i="97" s="1"/>
  <c r="K33" i="97"/>
  <c r="K82" i="97" s="1"/>
  <c r="J33" i="97"/>
  <c r="J82" i="97" s="1"/>
  <c r="I33" i="97"/>
  <c r="I82" i="97" s="1"/>
  <c r="H33" i="97"/>
  <c r="H82" i="97" s="1"/>
  <c r="G33" i="97"/>
  <c r="G82" i="97" s="1"/>
  <c r="F33" i="97"/>
  <c r="F82" i="97" s="1"/>
  <c r="E33" i="97"/>
  <c r="E82" i="97" s="1"/>
  <c r="D33" i="97"/>
  <c r="D82" i="97" s="1"/>
  <c r="C33" i="97"/>
  <c r="O24" i="97"/>
  <c r="O73" i="97" s="1"/>
  <c r="O23" i="97"/>
  <c r="O72" i="97" s="1"/>
  <c r="O22" i="97"/>
  <c r="O71" i="97" s="1"/>
  <c r="N21" i="97"/>
  <c r="N70" i="97" s="1"/>
  <c r="M21" i="97"/>
  <c r="M70" i="97" s="1"/>
  <c r="L21" i="97"/>
  <c r="L70" i="97" s="1"/>
  <c r="K21" i="97"/>
  <c r="J21" i="97"/>
  <c r="J70" i="97" s="1"/>
  <c r="I21" i="97"/>
  <c r="I70" i="97" s="1"/>
  <c r="H21" i="97"/>
  <c r="H70" i="97" s="1"/>
  <c r="G21" i="97"/>
  <c r="F21" i="97"/>
  <c r="F70" i="97" s="1"/>
  <c r="E21" i="97"/>
  <c r="E70" i="97" s="1"/>
  <c r="D21" i="97"/>
  <c r="D70" i="97" s="1"/>
  <c r="C21" i="97"/>
  <c r="O20" i="97"/>
  <c r="O69" i="97" s="1"/>
  <c r="O19" i="97"/>
  <c r="O68" i="97" s="1"/>
  <c r="O18" i="97"/>
  <c r="O67" i="97" s="1"/>
  <c r="O17" i="97"/>
  <c r="O66" i="97" s="1"/>
  <c r="N16" i="97"/>
  <c r="N65" i="97" s="1"/>
  <c r="M16" i="97"/>
  <c r="M65" i="97" s="1"/>
  <c r="L16" i="97"/>
  <c r="K16" i="97"/>
  <c r="K65" i="97" s="1"/>
  <c r="J16" i="97"/>
  <c r="J65" i="97" s="1"/>
  <c r="I16" i="97"/>
  <c r="I65" i="97" s="1"/>
  <c r="H16" i="97"/>
  <c r="G16" i="97"/>
  <c r="G65" i="97" s="1"/>
  <c r="F16" i="97"/>
  <c r="F65" i="97" s="1"/>
  <c r="E16" i="97"/>
  <c r="E65" i="97" s="1"/>
  <c r="D16" i="97"/>
  <c r="C16" i="97"/>
  <c r="N15" i="97"/>
  <c r="N64" i="97" s="1"/>
  <c r="M15" i="97"/>
  <c r="J15" i="97"/>
  <c r="J64" i="97" s="1"/>
  <c r="F15" i="97"/>
  <c r="F64" i="97" s="1"/>
  <c r="E15" i="97"/>
  <c r="N14" i="97"/>
  <c r="N63" i="97" s="1"/>
  <c r="O13" i="97"/>
  <c r="O62" i="97" s="1"/>
  <c r="O12" i="97"/>
  <c r="O61" i="97" s="1"/>
  <c r="O11" i="97"/>
  <c r="O60" i="97" s="1"/>
  <c r="O10" i="97"/>
  <c r="O59" i="97" s="1"/>
  <c r="O9" i="97"/>
  <c r="O58" i="97" s="1"/>
  <c r="N8" i="97"/>
  <c r="N25" i="97" s="1"/>
  <c r="N74" i="97" s="1"/>
  <c r="M8" i="97"/>
  <c r="M57" i="97" s="1"/>
  <c r="L8" i="97"/>
  <c r="K8" i="97"/>
  <c r="K57" i="97" s="1"/>
  <c r="J8" i="97"/>
  <c r="I8" i="97"/>
  <c r="I57" i="97" s="1"/>
  <c r="H8" i="97"/>
  <c r="G8" i="97"/>
  <c r="G57" i="97" s="1"/>
  <c r="F8" i="97"/>
  <c r="E8" i="97"/>
  <c r="E57" i="97" s="1"/>
  <c r="D8" i="97"/>
  <c r="C8" i="97"/>
  <c r="C7" i="97" s="1"/>
  <c r="C56" i="97" s="1"/>
  <c r="N7" i="97"/>
  <c r="N56" i="97" s="1"/>
  <c r="M7" i="97"/>
  <c r="K7" i="97"/>
  <c r="J7" i="97"/>
  <c r="E7" i="97"/>
  <c r="L32" i="99" l="1"/>
  <c r="F7" i="99"/>
  <c r="F32" i="99" s="1"/>
  <c r="I7" i="97"/>
  <c r="I8" i="98"/>
  <c r="AE13" i="99"/>
  <c r="K7" i="99"/>
  <c r="O22" i="99"/>
  <c r="I15" i="97"/>
  <c r="I64" i="97" s="1"/>
  <c r="E55" i="98"/>
  <c r="O62" i="98"/>
  <c r="G55" i="98"/>
  <c r="O41" i="98"/>
  <c r="O30" i="98"/>
  <c r="O20" i="98"/>
  <c r="E47" i="98"/>
  <c r="O9" i="98"/>
  <c r="V58" i="56"/>
  <c r="E32" i="99"/>
  <c r="D32" i="99"/>
  <c r="O29" i="99"/>
  <c r="G7" i="99"/>
  <c r="H7" i="99"/>
  <c r="H32" i="99" s="1"/>
  <c r="O14" i="99"/>
  <c r="O33" i="97"/>
  <c r="O82" i="97" s="1"/>
  <c r="O16" i="97"/>
  <c r="O65" i="97" s="1"/>
  <c r="F14" i="97"/>
  <c r="F63" i="97" s="1"/>
  <c r="F25" i="97"/>
  <c r="F74" i="97" s="1"/>
  <c r="G7" i="97"/>
  <c r="G56" i="97" s="1"/>
  <c r="Q115" i="33"/>
  <c r="Q100" i="33"/>
  <c r="Q38" i="33"/>
  <c r="Q79" i="33" s="1"/>
  <c r="Q92" i="33"/>
  <c r="Q107" i="33"/>
  <c r="O34" i="99"/>
  <c r="G32" i="99"/>
  <c r="K32" i="99"/>
  <c r="C8" i="99"/>
  <c r="V7" i="56"/>
  <c r="F47" i="98"/>
  <c r="J47" i="98"/>
  <c r="N47" i="98"/>
  <c r="O32" i="98"/>
  <c r="N49" i="98"/>
  <c r="N51" i="98" s="1"/>
  <c r="F15" i="98"/>
  <c r="F49" i="98" s="1"/>
  <c r="J15" i="98"/>
  <c r="J49" i="98" s="1"/>
  <c r="O16" i="98"/>
  <c r="R16" i="98" s="1"/>
  <c r="K15" i="98"/>
  <c r="K49" i="98" s="1"/>
  <c r="G15" i="98"/>
  <c r="G49" i="98" s="1"/>
  <c r="G50" i="98" s="1"/>
  <c r="D15" i="98"/>
  <c r="D49" i="98" s="1"/>
  <c r="H15" i="98"/>
  <c r="H49" i="98" s="1"/>
  <c r="L15" i="98"/>
  <c r="L49" i="98" s="1"/>
  <c r="O52" i="98"/>
  <c r="L55" i="98"/>
  <c r="D55" i="98"/>
  <c r="H55" i="98"/>
  <c r="O56" i="98"/>
  <c r="O59" i="98"/>
  <c r="K55" i="98"/>
  <c r="F55" i="98"/>
  <c r="J55" i="98"/>
  <c r="N55" i="98"/>
  <c r="E15" i="98"/>
  <c r="E49" i="98" s="1"/>
  <c r="I15" i="98"/>
  <c r="M15" i="98"/>
  <c r="M49" i="98" s="1"/>
  <c r="N72" i="98"/>
  <c r="O66" i="98"/>
  <c r="C55" i="98"/>
  <c r="O71" i="98"/>
  <c r="C15" i="98"/>
  <c r="C47" i="98"/>
  <c r="G47" i="98"/>
  <c r="K47" i="98"/>
  <c r="C8" i="98"/>
  <c r="D47" i="98"/>
  <c r="H47" i="98"/>
  <c r="L47" i="98"/>
  <c r="V56" i="13"/>
  <c r="V47" i="13"/>
  <c r="V15" i="13"/>
  <c r="V50" i="13" s="1"/>
  <c r="C82" i="97"/>
  <c r="J14" i="97"/>
  <c r="J63" i="97" s="1"/>
  <c r="K15" i="97"/>
  <c r="K64" i="97" s="1"/>
  <c r="G15" i="97"/>
  <c r="G64" i="97" s="1"/>
  <c r="J25" i="97"/>
  <c r="J74" i="97" s="1"/>
  <c r="C15" i="97"/>
  <c r="C64" i="97" s="1"/>
  <c r="F7" i="97"/>
  <c r="F56" i="97" s="1"/>
  <c r="G25" i="97"/>
  <c r="G74" i="97" s="1"/>
  <c r="F57" i="97"/>
  <c r="J57" i="97"/>
  <c r="N57" i="97"/>
  <c r="D7" i="97"/>
  <c r="D57" i="97"/>
  <c r="L7" i="97"/>
  <c r="L57" i="97"/>
  <c r="C70" i="97"/>
  <c r="K70" i="97"/>
  <c r="K14" i="97"/>
  <c r="K63" i="97" s="1"/>
  <c r="O21" i="97"/>
  <c r="O70" i="97" s="1"/>
  <c r="H15" i="97"/>
  <c r="H25" i="97" s="1"/>
  <c r="H74" i="97" s="1"/>
  <c r="H65" i="97"/>
  <c r="I56" i="97"/>
  <c r="M14" i="97"/>
  <c r="M63" i="97" s="1"/>
  <c r="M64" i="97"/>
  <c r="H7" i="97"/>
  <c r="H57" i="97"/>
  <c r="E14" i="97"/>
  <c r="E63" i="97" s="1"/>
  <c r="E64" i="97"/>
  <c r="G70" i="97"/>
  <c r="G14" i="97"/>
  <c r="G63" i="97" s="1"/>
  <c r="M56" i="97"/>
  <c r="M30" i="97"/>
  <c r="D15" i="97"/>
  <c r="D65" i="97"/>
  <c r="L15" i="97"/>
  <c r="L25" i="97" s="1"/>
  <c r="L74" i="97" s="1"/>
  <c r="L65" i="97"/>
  <c r="E56" i="97"/>
  <c r="J56" i="97"/>
  <c r="O8" i="97"/>
  <c r="O57" i="97" s="1"/>
  <c r="I14" i="97"/>
  <c r="I63" i="97" s="1"/>
  <c r="K56" i="97"/>
  <c r="C57" i="97"/>
  <c r="C65" i="97"/>
  <c r="E25" i="97"/>
  <c r="E74" i="97" s="1"/>
  <c r="M25" i="97"/>
  <c r="M74" i="97" s="1"/>
  <c r="N30" i="97"/>
  <c r="O36" i="97"/>
  <c r="O85" i="97" s="1"/>
  <c r="V121" i="3"/>
  <c r="V113" i="3"/>
  <c r="V112" i="3"/>
  <c r="V111" i="3"/>
  <c r="V110" i="3"/>
  <c r="V109" i="3"/>
  <c r="V108" i="3"/>
  <c r="V107" i="3"/>
  <c r="V105" i="3"/>
  <c r="V104" i="3"/>
  <c r="V94" i="3"/>
  <c r="V93" i="3"/>
  <c r="V92" i="3"/>
  <c r="V90" i="3"/>
  <c r="V89" i="3"/>
  <c r="V88" i="3"/>
  <c r="V87" i="3"/>
  <c r="V86" i="3"/>
  <c r="V83" i="3"/>
  <c r="V82" i="3"/>
  <c r="V81" i="3"/>
  <c r="V80" i="3"/>
  <c r="V79" i="3"/>
  <c r="V78" i="3"/>
  <c r="V51" i="3"/>
  <c r="V119" i="3" s="1"/>
  <c r="V38" i="3"/>
  <c r="V106" i="3" s="1"/>
  <c r="V35" i="3"/>
  <c r="V103" i="3" s="1"/>
  <c r="V23" i="3"/>
  <c r="V91" i="3" s="1"/>
  <c r="V18" i="3"/>
  <c r="V17" i="3" s="1"/>
  <c r="V85" i="3" s="1"/>
  <c r="V9" i="3"/>
  <c r="V77" i="3" s="1"/>
  <c r="I25" i="97" l="1"/>
  <c r="I74" i="97" s="1"/>
  <c r="J30" i="97"/>
  <c r="J44" i="97" s="1"/>
  <c r="K25" i="97"/>
  <c r="K74" i="97" s="1"/>
  <c r="N50" i="98"/>
  <c r="K30" i="97"/>
  <c r="I49" i="98"/>
  <c r="V34" i="56"/>
  <c r="V78" i="56" s="1"/>
  <c r="V51" i="56"/>
  <c r="C25" i="97"/>
  <c r="C74" i="97" s="1"/>
  <c r="C14" i="97"/>
  <c r="C30" i="97" s="1"/>
  <c r="C32" i="97" s="1"/>
  <c r="Q91" i="33"/>
  <c r="Q51" i="33"/>
  <c r="Q63" i="33"/>
  <c r="Q70" i="33"/>
  <c r="Q58" i="33"/>
  <c r="Q65" i="33"/>
  <c r="Q78" i="33"/>
  <c r="Q59" i="33"/>
  <c r="Q76" i="33"/>
  <c r="Q53" i="33"/>
  <c r="Q60" i="33"/>
  <c r="Q73" i="33"/>
  <c r="Q54" i="33"/>
  <c r="Q67" i="33"/>
  <c r="Q75" i="33"/>
  <c r="Q74" i="33"/>
  <c r="Q55" i="33"/>
  <c r="Q68" i="33"/>
  <c r="Q50" i="33"/>
  <c r="Q62" i="33"/>
  <c r="Q71" i="33"/>
  <c r="Q66" i="33"/>
  <c r="Q61" i="33"/>
  <c r="Q56" i="33"/>
  <c r="O8" i="99"/>
  <c r="C7" i="99"/>
  <c r="F51" i="98"/>
  <c r="F50" i="98"/>
  <c r="F72" i="98"/>
  <c r="J51" i="98"/>
  <c r="J50" i="98"/>
  <c r="J72" i="98"/>
  <c r="L51" i="98"/>
  <c r="L50" i="98"/>
  <c r="D51" i="98"/>
  <c r="D50" i="98"/>
  <c r="D72" i="98"/>
  <c r="K72" i="98"/>
  <c r="K51" i="98"/>
  <c r="K50" i="98"/>
  <c r="H51" i="98"/>
  <c r="H72" i="98"/>
  <c r="H50" i="98"/>
  <c r="G72" i="98"/>
  <c r="L72" i="98"/>
  <c r="G51" i="98"/>
  <c r="O55" i="98"/>
  <c r="O47" i="98"/>
  <c r="C49" i="98"/>
  <c r="O8" i="98"/>
  <c r="O15" i="98"/>
  <c r="R15" i="98" s="1"/>
  <c r="I72" i="98"/>
  <c r="I51" i="98"/>
  <c r="I50" i="98"/>
  <c r="M72" i="98"/>
  <c r="M51" i="98"/>
  <c r="M50" i="98"/>
  <c r="E72" i="98"/>
  <c r="E51" i="98"/>
  <c r="E50" i="98"/>
  <c r="V73" i="13"/>
  <c r="V51" i="13"/>
  <c r="V52" i="13"/>
  <c r="V48" i="13"/>
  <c r="F30" i="97"/>
  <c r="F32" i="97" s="1"/>
  <c r="F81" i="97" s="1"/>
  <c r="E30" i="97"/>
  <c r="D56" i="97"/>
  <c r="D14" i="97"/>
  <c r="D63" i="97" s="1"/>
  <c r="D64" i="97"/>
  <c r="O7" i="97"/>
  <c r="O56" i="97" s="1"/>
  <c r="G30" i="97"/>
  <c r="C63" i="97"/>
  <c r="L56" i="97"/>
  <c r="L14" i="97"/>
  <c r="L63" i="97" s="1"/>
  <c r="L64" i="97"/>
  <c r="K44" i="97"/>
  <c r="K79" i="97"/>
  <c r="K32" i="97"/>
  <c r="K81" i="97" s="1"/>
  <c r="K27" i="97"/>
  <c r="K31" i="97"/>
  <c r="K80" i="97" s="1"/>
  <c r="I30" i="97"/>
  <c r="O15" i="97"/>
  <c r="O64" i="97" s="1"/>
  <c r="H14" i="97"/>
  <c r="H63" i="97" s="1"/>
  <c r="H64" i="97"/>
  <c r="N31" i="97"/>
  <c r="N80" i="97" s="1"/>
  <c r="N44" i="97"/>
  <c r="N32" i="97"/>
  <c r="N81" i="97" s="1"/>
  <c r="N27" i="97"/>
  <c r="N79" i="97"/>
  <c r="J31" i="97"/>
  <c r="J80" i="97" s="1"/>
  <c r="J79" i="97"/>
  <c r="J32" i="97"/>
  <c r="J81" i="97" s="1"/>
  <c r="J27" i="97"/>
  <c r="M79" i="97"/>
  <c r="M32" i="97"/>
  <c r="M81" i="97" s="1"/>
  <c r="M27" i="97"/>
  <c r="M31" i="97"/>
  <c r="M80" i="97" s="1"/>
  <c r="M44" i="97"/>
  <c r="H56" i="97"/>
  <c r="C44" i="97"/>
  <c r="C79" i="97"/>
  <c r="C31" i="97"/>
  <c r="D25" i="97"/>
  <c r="V16" i="3"/>
  <c r="V84" i="3" s="1"/>
  <c r="V27" i="3"/>
  <c r="V95" i="3" s="1"/>
  <c r="V8" i="3"/>
  <c r="V76" i="3" s="1"/>
  <c r="C27" i="97" l="1"/>
  <c r="Q69" i="33"/>
  <c r="Q64" i="33" s="1"/>
  <c r="Q72" i="33"/>
  <c r="Q57" i="33"/>
  <c r="Q49" i="33"/>
  <c r="Q52" i="33"/>
  <c r="C32" i="99"/>
  <c r="O32" i="99" s="1"/>
  <c r="O7" i="99"/>
  <c r="C50" i="98"/>
  <c r="O50" i="98" s="1"/>
  <c r="O49" i="98"/>
  <c r="C72" i="98"/>
  <c r="O72" i="98" s="1"/>
  <c r="C51" i="98"/>
  <c r="O51" i="98" s="1"/>
  <c r="L30" i="97"/>
  <c r="L79" i="97" s="1"/>
  <c r="H30" i="97"/>
  <c r="H27" i="97" s="1"/>
  <c r="F79" i="97"/>
  <c r="F44" i="97"/>
  <c r="F27" i="97"/>
  <c r="F76" i="97" s="1"/>
  <c r="F31" i="97"/>
  <c r="F80" i="97" s="1"/>
  <c r="C81" i="97"/>
  <c r="M76" i="97"/>
  <c r="M28" i="97"/>
  <c r="M77" i="97" s="1"/>
  <c r="I79" i="97"/>
  <c r="I32" i="97"/>
  <c r="I81" i="97" s="1"/>
  <c r="I27" i="97"/>
  <c r="I31" i="97"/>
  <c r="I80" i="97" s="1"/>
  <c r="I44" i="97"/>
  <c r="D74" i="97"/>
  <c r="O25" i="97"/>
  <c r="O74" i="97" s="1"/>
  <c r="N76" i="97"/>
  <c r="N28" i="97"/>
  <c r="N77" i="97" s="1"/>
  <c r="L44" i="97"/>
  <c r="L31" i="97"/>
  <c r="L80" i="97" s="1"/>
  <c r="G44" i="97"/>
  <c r="G79" i="97"/>
  <c r="G32" i="97"/>
  <c r="G81" i="97" s="1"/>
  <c r="G27" i="97"/>
  <c r="G31" i="97"/>
  <c r="G80" i="97" s="1"/>
  <c r="D30" i="97"/>
  <c r="C80" i="97"/>
  <c r="K76" i="97"/>
  <c r="K28" i="97"/>
  <c r="K77" i="97" s="1"/>
  <c r="C76" i="97"/>
  <c r="C28" i="97"/>
  <c r="J76" i="97"/>
  <c r="J28" i="97"/>
  <c r="J77" i="97" s="1"/>
  <c r="O14" i="97"/>
  <c r="O63" i="97" s="1"/>
  <c r="E79" i="97"/>
  <c r="E32" i="97"/>
  <c r="E81" i="97" s="1"/>
  <c r="E27" i="97"/>
  <c r="E31" i="97"/>
  <c r="E80" i="97" s="1"/>
  <c r="E44" i="97"/>
  <c r="V32" i="3"/>
  <c r="V29" i="3" s="1"/>
  <c r="C71" i="94"/>
  <c r="C20" i="94"/>
  <c r="M71" i="94"/>
  <c r="N71" i="94"/>
  <c r="L71" i="94"/>
  <c r="K71" i="94"/>
  <c r="J71" i="94"/>
  <c r="I71" i="94"/>
  <c r="H71" i="94"/>
  <c r="G71" i="94"/>
  <c r="F71" i="94"/>
  <c r="E71" i="94"/>
  <c r="D71" i="94"/>
  <c r="H32" i="97" l="1"/>
  <c r="H81" i="97" s="1"/>
  <c r="V30" i="3"/>
  <c r="V98" i="3" s="1"/>
  <c r="V97" i="3"/>
  <c r="V46" i="3"/>
  <c r="V100" i="3"/>
  <c r="V34" i="3"/>
  <c r="V33" i="3"/>
  <c r="V101" i="3" s="1"/>
  <c r="Q48" i="33"/>
  <c r="L27" i="97"/>
  <c r="L28" i="97" s="1"/>
  <c r="L77" i="97" s="1"/>
  <c r="F28" i="97"/>
  <c r="F77" i="97" s="1"/>
  <c r="L32" i="97"/>
  <c r="L81" i="97" s="1"/>
  <c r="H79" i="97"/>
  <c r="H31" i="97"/>
  <c r="H80" i="97" s="1"/>
  <c r="H44" i="97"/>
  <c r="D44" i="97"/>
  <c r="D79" i="97"/>
  <c r="D32" i="97"/>
  <c r="D27" i="97"/>
  <c r="D31" i="97"/>
  <c r="O30" i="97"/>
  <c r="O79" i="97" s="1"/>
  <c r="C77" i="97"/>
  <c r="H28" i="97"/>
  <c r="H77" i="97" s="1"/>
  <c r="H76" i="97"/>
  <c r="L76" i="97"/>
  <c r="I76" i="97"/>
  <c r="I28" i="97"/>
  <c r="I77" i="97" s="1"/>
  <c r="E76" i="97"/>
  <c r="E28" i="97"/>
  <c r="E77" i="97" s="1"/>
  <c r="G76" i="97"/>
  <c r="G28" i="97"/>
  <c r="G77" i="97" s="1"/>
  <c r="E41" i="48"/>
  <c r="O44" i="97" l="1"/>
  <c r="AD34" i="3"/>
  <c r="V102" i="3"/>
  <c r="D81" i="97"/>
  <c r="O32" i="97"/>
  <c r="D28" i="97"/>
  <c r="D76" i="97"/>
  <c r="O27" i="97"/>
  <c r="O76" i="97" s="1"/>
  <c r="D80" i="97"/>
  <c r="O31" i="97"/>
  <c r="O80" i="97" s="1"/>
  <c r="U105" i="39"/>
  <c r="D77" i="97" l="1"/>
  <c r="O28" i="97"/>
  <c r="O77" i="97" s="1"/>
  <c r="O81" i="97"/>
  <c r="R32" i="97"/>
  <c r="J18" i="40"/>
  <c r="I18" i="40"/>
  <c r="E65" i="44" l="1"/>
  <c r="F65" i="44"/>
  <c r="F36" i="44"/>
  <c r="E36" i="44"/>
  <c r="Q17" i="96" l="1"/>
  <c r="Q13" i="96"/>
  <c r="P23" i="96"/>
  <c r="P21" i="96"/>
  <c r="P20" i="96"/>
  <c r="Q20" i="96" s="1"/>
  <c r="P19" i="96"/>
  <c r="Q19" i="96" s="1"/>
  <c r="P18" i="96"/>
  <c r="P17" i="96"/>
  <c r="P16" i="96"/>
  <c r="Q16" i="96" s="1"/>
  <c r="P15" i="96"/>
  <c r="Q15" i="96" s="1"/>
  <c r="P14" i="96"/>
  <c r="P13" i="96"/>
  <c r="P12" i="96"/>
  <c r="Q12" i="96" s="1"/>
  <c r="P11" i="96"/>
  <c r="Q11" i="96" s="1"/>
  <c r="O7" i="96"/>
  <c r="O8" i="96"/>
  <c r="O9" i="96"/>
  <c r="O10" i="96"/>
  <c r="O11" i="96"/>
  <c r="O12" i="96"/>
  <c r="O13" i="96"/>
  <c r="O14" i="96"/>
  <c r="Q14" i="96" s="1"/>
  <c r="O15" i="96"/>
  <c r="O16" i="96"/>
  <c r="O17" i="96"/>
  <c r="O21" i="96"/>
  <c r="Q21" i="96" s="1"/>
  <c r="O20" i="96"/>
  <c r="O19" i="96"/>
  <c r="O18" i="96"/>
  <c r="Q18" i="96" s="1"/>
  <c r="O23" i="96"/>
  <c r="Q23" i="96" s="1"/>
  <c r="N21" i="96"/>
  <c r="N20" i="96"/>
  <c r="N19" i="96"/>
  <c r="N18" i="96"/>
  <c r="N17" i="96"/>
  <c r="N16" i="96"/>
  <c r="N15" i="96"/>
  <c r="N14" i="96"/>
  <c r="N13" i="96"/>
  <c r="N12" i="96"/>
  <c r="N11" i="96"/>
  <c r="N10" i="96"/>
  <c r="N9" i="96"/>
  <c r="N23" i="96"/>
  <c r="Q24" i="96" l="1"/>
  <c r="H24" i="96"/>
  <c r="D20" i="94" l="1"/>
  <c r="E20" i="94"/>
  <c r="F20" i="94"/>
  <c r="G20" i="94"/>
  <c r="H20" i="94"/>
  <c r="C32" i="94"/>
  <c r="D32" i="94"/>
  <c r="E32" i="94"/>
  <c r="F32" i="94"/>
  <c r="G32" i="94"/>
  <c r="H32" i="94"/>
  <c r="K22" i="92" l="1"/>
  <c r="AF64" i="47" l="1"/>
  <c r="AF62" i="47"/>
  <c r="AE61" i="47"/>
  <c r="AF61" i="47" s="1"/>
  <c r="AF55" i="47"/>
  <c r="AF54" i="47"/>
  <c r="AF52" i="47"/>
  <c r="AF51" i="47"/>
  <c r="AE50" i="47"/>
  <c r="AF50" i="47" s="1"/>
  <c r="AF48" i="47"/>
  <c r="AF47" i="47"/>
  <c r="AF46" i="47"/>
  <c r="AE45" i="47"/>
  <c r="AD8" i="87"/>
  <c r="AD7" i="87"/>
  <c r="AD9" i="87" s="1"/>
  <c r="N27" i="45"/>
  <c r="J27" i="45" s="1"/>
  <c r="N26" i="45"/>
  <c r="J26" i="45" s="1"/>
  <c r="N24" i="45"/>
  <c r="J24" i="45" s="1"/>
  <c r="N23" i="45"/>
  <c r="J23" i="45" s="1"/>
  <c r="N22" i="45"/>
  <c r="J22" i="45" s="1"/>
  <c r="N21" i="45"/>
  <c r="J21" i="45" s="1"/>
  <c r="N20" i="45"/>
  <c r="J20" i="45" s="1"/>
  <c r="N19" i="45"/>
  <c r="J19" i="45" s="1"/>
  <c r="N18" i="45"/>
  <c r="J18" i="45" s="1"/>
  <c r="N17" i="45"/>
  <c r="J17" i="45" s="1"/>
  <c r="N16" i="45"/>
  <c r="J16" i="45" s="1"/>
  <c r="N15" i="45"/>
  <c r="J15" i="45" s="1"/>
  <c r="N13" i="45"/>
  <c r="J13" i="45" s="1"/>
  <c r="N12" i="45"/>
  <c r="J12" i="45" s="1"/>
  <c r="N11" i="45"/>
  <c r="J11" i="45" s="1"/>
  <c r="N10" i="45"/>
  <c r="J10" i="45" s="1"/>
  <c r="N9" i="45"/>
  <c r="J9" i="45" s="1"/>
  <c r="AE43" i="47" l="1"/>
  <c r="AE65" i="47" s="1"/>
  <c r="AF65" i="47" s="1"/>
  <c r="AF43" i="47"/>
  <c r="AF45" i="47"/>
  <c r="T6" i="84"/>
  <c r="T20" i="41"/>
  <c r="T8" i="41"/>
  <c r="T11" i="41" s="1"/>
  <c r="AC8" i="67" l="1"/>
  <c r="AC7" i="67"/>
  <c r="AC9" i="67" s="1"/>
  <c r="AC9" i="64"/>
  <c r="AC8" i="64"/>
  <c r="AC7" i="64"/>
  <c r="U9" i="3"/>
  <c r="U8" i="3" s="1"/>
  <c r="U76" i="3" s="1"/>
  <c r="U94" i="3"/>
  <c r="U93" i="3"/>
  <c r="U92" i="3"/>
  <c r="U90" i="3"/>
  <c r="U89" i="3"/>
  <c r="U88" i="3"/>
  <c r="U87" i="3"/>
  <c r="U83" i="3"/>
  <c r="U82" i="3"/>
  <c r="U81" i="3"/>
  <c r="U80" i="3"/>
  <c r="U79" i="3"/>
  <c r="U78" i="3"/>
  <c r="U104" i="3"/>
  <c r="U105" i="3"/>
  <c r="U107" i="3"/>
  <c r="T107" i="3"/>
  <c r="T108" i="3"/>
  <c r="T109" i="3"/>
  <c r="T110" i="3"/>
  <c r="T111" i="3"/>
  <c r="T112" i="3"/>
  <c r="T113" i="3"/>
  <c r="U108" i="3"/>
  <c r="U109" i="3"/>
  <c r="U110" i="3"/>
  <c r="U111" i="3"/>
  <c r="U112" i="3"/>
  <c r="U113" i="3"/>
  <c r="U121" i="3"/>
  <c r="U51" i="3"/>
  <c r="U119" i="3" s="1"/>
  <c r="U18" i="3"/>
  <c r="U17" i="3" s="1"/>
  <c r="U85" i="3" s="1"/>
  <c r="U23" i="3"/>
  <c r="U91" i="3" s="1"/>
  <c r="U35" i="3"/>
  <c r="U103" i="3" s="1"/>
  <c r="U38" i="3"/>
  <c r="U106" i="3" s="1"/>
  <c r="N98" i="95"/>
  <c r="M98" i="95"/>
  <c r="L98" i="95"/>
  <c r="K98" i="95"/>
  <c r="J98" i="95"/>
  <c r="I98" i="95"/>
  <c r="H98" i="95"/>
  <c r="G98" i="95"/>
  <c r="F98" i="95"/>
  <c r="E98" i="95"/>
  <c r="D98" i="95"/>
  <c r="C98" i="95"/>
  <c r="N92" i="95"/>
  <c r="M92" i="95"/>
  <c r="L92" i="95"/>
  <c r="K92" i="95"/>
  <c r="J92" i="95"/>
  <c r="I92" i="95"/>
  <c r="H92" i="95"/>
  <c r="G92" i="95"/>
  <c r="F92" i="95"/>
  <c r="E92" i="95"/>
  <c r="D92" i="95"/>
  <c r="C92" i="95"/>
  <c r="N91" i="95"/>
  <c r="M91" i="95"/>
  <c r="L91" i="95"/>
  <c r="K91" i="95"/>
  <c r="J91" i="95"/>
  <c r="I91" i="95"/>
  <c r="H91" i="95"/>
  <c r="G91" i="95"/>
  <c r="F91" i="95"/>
  <c r="E91" i="95"/>
  <c r="D91" i="95"/>
  <c r="C91" i="95"/>
  <c r="N90" i="95"/>
  <c r="M90" i="95"/>
  <c r="L90" i="95"/>
  <c r="K90" i="95"/>
  <c r="J90" i="95"/>
  <c r="I90" i="95"/>
  <c r="H90" i="95"/>
  <c r="G90" i="95"/>
  <c r="F90" i="95"/>
  <c r="E90" i="95"/>
  <c r="D90" i="95"/>
  <c r="C90" i="95"/>
  <c r="N89" i="95"/>
  <c r="M89" i="95"/>
  <c r="L89" i="95"/>
  <c r="K89" i="95"/>
  <c r="J89" i="95"/>
  <c r="I89" i="95"/>
  <c r="H89" i="95"/>
  <c r="G89" i="95"/>
  <c r="F89" i="95"/>
  <c r="E89" i="95"/>
  <c r="D89" i="95"/>
  <c r="C89" i="95"/>
  <c r="N88" i="95"/>
  <c r="M88" i="95"/>
  <c r="L88" i="95"/>
  <c r="K88" i="95"/>
  <c r="J88" i="95"/>
  <c r="I88" i="95"/>
  <c r="H88" i="95"/>
  <c r="G88" i="95"/>
  <c r="F88" i="95"/>
  <c r="E88" i="95"/>
  <c r="D88" i="95"/>
  <c r="C88" i="95"/>
  <c r="N87" i="95"/>
  <c r="M87" i="95"/>
  <c r="L87" i="95"/>
  <c r="K87" i="95"/>
  <c r="J87" i="95"/>
  <c r="I87" i="95"/>
  <c r="H87" i="95"/>
  <c r="G87" i="95"/>
  <c r="F87" i="95"/>
  <c r="E87" i="95"/>
  <c r="D87" i="95"/>
  <c r="C87" i="95"/>
  <c r="N86" i="95"/>
  <c r="M86" i="95"/>
  <c r="L86" i="95"/>
  <c r="K86" i="95"/>
  <c r="J86" i="95"/>
  <c r="I86" i="95"/>
  <c r="H86" i="95"/>
  <c r="G86" i="95"/>
  <c r="F86" i="95"/>
  <c r="E86" i="95"/>
  <c r="D86" i="95"/>
  <c r="C86" i="95"/>
  <c r="N84" i="95"/>
  <c r="M84" i="95"/>
  <c r="L84" i="95"/>
  <c r="K84" i="95"/>
  <c r="J84" i="95"/>
  <c r="I84" i="95"/>
  <c r="H84" i="95"/>
  <c r="G84" i="95"/>
  <c r="F84" i="95"/>
  <c r="E84" i="95"/>
  <c r="D84" i="95"/>
  <c r="C84" i="95"/>
  <c r="N83" i="95"/>
  <c r="M83" i="95"/>
  <c r="L83" i="95"/>
  <c r="K83" i="95"/>
  <c r="J83" i="95"/>
  <c r="I83" i="95"/>
  <c r="H83" i="95"/>
  <c r="G83" i="95"/>
  <c r="F83" i="95"/>
  <c r="E83" i="95"/>
  <c r="D83" i="95"/>
  <c r="C83" i="95"/>
  <c r="N73" i="95"/>
  <c r="M73" i="95"/>
  <c r="L73" i="95"/>
  <c r="K73" i="95"/>
  <c r="J73" i="95"/>
  <c r="I73" i="95"/>
  <c r="H73" i="95"/>
  <c r="G73" i="95"/>
  <c r="F73" i="95"/>
  <c r="E73" i="95"/>
  <c r="D73" i="95"/>
  <c r="C73" i="95"/>
  <c r="N72" i="95"/>
  <c r="M72" i="95"/>
  <c r="L72" i="95"/>
  <c r="K72" i="95"/>
  <c r="J72" i="95"/>
  <c r="I72" i="95"/>
  <c r="H72" i="95"/>
  <c r="G72" i="95"/>
  <c r="F72" i="95"/>
  <c r="E72" i="95"/>
  <c r="D72" i="95"/>
  <c r="C72" i="95"/>
  <c r="N71" i="95"/>
  <c r="M71" i="95"/>
  <c r="L71" i="95"/>
  <c r="K71" i="95"/>
  <c r="J71" i="95"/>
  <c r="I71" i="95"/>
  <c r="H71" i="95"/>
  <c r="G71" i="95"/>
  <c r="F71" i="95"/>
  <c r="E71" i="95"/>
  <c r="D71" i="95"/>
  <c r="C71" i="95"/>
  <c r="N69" i="95"/>
  <c r="M69" i="95"/>
  <c r="L69" i="95"/>
  <c r="K69" i="95"/>
  <c r="J69" i="95"/>
  <c r="I69" i="95"/>
  <c r="H69" i="95"/>
  <c r="G69" i="95"/>
  <c r="F69" i="95"/>
  <c r="E69" i="95"/>
  <c r="D69" i="95"/>
  <c r="C69" i="95"/>
  <c r="N68" i="95"/>
  <c r="M68" i="95"/>
  <c r="L68" i="95"/>
  <c r="K68" i="95"/>
  <c r="J68" i="95"/>
  <c r="I68" i="95"/>
  <c r="H68" i="95"/>
  <c r="G68" i="95"/>
  <c r="F68" i="95"/>
  <c r="E68" i="95"/>
  <c r="D68" i="95"/>
  <c r="C68" i="95"/>
  <c r="N67" i="95"/>
  <c r="M67" i="95"/>
  <c r="L67" i="95"/>
  <c r="K67" i="95"/>
  <c r="J67" i="95"/>
  <c r="I67" i="95"/>
  <c r="H67" i="95"/>
  <c r="G67" i="95"/>
  <c r="F67" i="95"/>
  <c r="E67" i="95"/>
  <c r="D67" i="95"/>
  <c r="C67" i="95"/>
  <c r="N66" i="95"/>
  <c r="M66" i="95"/>
  <c r="L66" i="95"/>
  <c r="K66" i="95"/>
  <c r="J66" i="95"/>
  <c r="I66" i="95"/>
  <c r="H66" i="95"/>
  <c r="G66" i="95"/>
  <c r="F66" i="95"/>
  <c r="E66" i="95"/>
  <c r="D66" i="95"/>
  <c r="C66" i="95"/>
  <c r="N62" i="95"/>
  <c r="M62" i="95"/>
  <c r="L62" i="95"/>
  <c r="K62" i="95"/>
  <c r="J62" i="95"/>
  <c r="I62" i="95"/>
  <c r="H62" i="95"/>
  <c r="G62" i="95"/>
  <c r="F62" i="95"/>
  <c r="E62" i="95"/>
  <c r="D62" i="95"/>
  <c r="C62" i="95"/>
  <c r="N61" i="95"/>
  <c r="M61" i="95"/>
  <c r="L61" i="95"/>
  <c r="K61" i="95"/>
  <c r="J61" i="95"/>
  <c r="I61" i="95"/>
  <c r="H61" i="95"/>
  <c r="G61" i="95"/>
  <c r="F61" i="95"/>
  <c r="E61" i="95"/>
  <c r="D61" i="95"/>
  <c r="C61" i="95"/>
  <c r="N60" i="95"/>
  <c r="M60" i="95"/>
  <c r="L60" i="95"/>
  <c r="K60" i="95"/>
  <c r="J60" i="95"/>
  <c r="I60" i="95"/>
  <c r="H60" i="95"/>
  <c r="G60" i="95"/>
  <c r="F60" i="95"/>
  <c r="E60" i="95"/>
  <c r="D60" i="95"/>
  <c r="C60" i="95"/>
  <c r="N59" i="95"/>
  <c r="M59" i="95"/>
  <c r="L59" i="95"/>
  <c r="K59" i="95"/>
  <c r="J59" i="95"/>
  <c r="I59" i="95"/>
  <c r="H59" i="95"/>
  <c r="G59" i="95"/>
  <c r="F59" i="95"/>
  <c r="E59" i="95"/>
  <c r="D59" i="95"/>
  <c r="C59" i="95"/>
  <c r="N58" i="95"/>
  <c r="M58" i="95"/>
  <c r="L58" i="95"/>
  <c r="K58" i="95"/>
  <c r="J58" i="95"/>
  <c r="I58" i="95"/>
  <c r="H58" i="95"/>
  <c r="G58" i="95"/>
  <c r="F58" i="95"/>
  <c r="E58" i="95"/>
  <c r="D58" i="95"/>
  <c r="C58" i="95"/>
  <c r="O49" i="95"/>
  <c r="O98" i="95" s="1"/>
  <c r="O43" i="95"/>
  <c r="O92" i="95" s="1"/>
  <c r="O42" i="95"/>
  <c r="O91" i="95" s="1"/>
  <c r="O41" i="95"/>
  <c r="O90" i="95" s="1"/>
  <c r="O40" i="95"/>
  <c r="O89" i="95" s="1"/>
  <c r="O39" i="95"/>
  <c r="O88" i="95" s="1"/>
  <c r="O38" i="95"/>
  <c r="O87" i="95" s="1"/>
  <c r="O37" i="95"/>
  <c r="O86" i="95" s="1"/>
  <c r="N36" i="95"/>
  <c r="N85" i="95" s="1"/>
  <c r="M36" i="95"/>
  <c r="M85" i="95" s="1"/>
  <c r="L36" i="95"/>
  <c r="L85" i="95" s="1"/>
  <c r="K36" i="95"/>
  <c r="K85" i="95" s="1"/>
  <c r="J36" i="95"/>
  <c r="J85" i="95" s="1"/>
  <c r="I36" i="95"/>
  <c r="I85" i="95" s="1"/>
  <c r="H36" i="95"/>
  <c r="H85" i="95" s="1"/>
  <c r="G36" i="95"/>
  <c r="G85" i="95" s="1"/>
  <c r="F36" i="95"/>
  <c r="F85" i="95" s="1"/>
  <c r="E36" i="95"/>
  <c r="E85" i="95" s="1"/>
  <c r="D36" i="95"/>
  <c r="D85" i="95" s="1"/>
  <c r="C36" i="95"/>
  <c r="C85" i="95" s="1"/>
  <c r="O35" i="95"/>
  <c r="O84" i="95" s="1"/>
  <c r="O34" i="95"/>
  <c r="O83" i="95" s="1"/>
  <c r="N33" i="95"/>
  <c r="N82" i="95" s="1"/>
  <c r="M33" i="95"/>
  <c r="M82" i="95" s="1"/>
  <c r="L33" i="95"/>
  <c r="L82" i="95" s="1"/>
  <c r="K33" i="95"/>
  <c r="K82" i="95" s="1"/>
  <c r="J33" i="95"/>
  <c r="J82" i="95" s="1"/>
  <c r="I33" i="95"/>
  <c r="I82" i="95" s="1"/>
  <c r="H33" i="95"/>
  <c r="H82" i="95" s="1"/>
  <c r="G33" i="95"/>
  <c r="G82" i="95" s="1"/>
  <c r="F33" i="95"/>
  <c r="F82" i="95" s="1"/>
  <c r="E33" i="95"/>
  <c r="E82" i="95" s="1"/>
  <c r="D33" i="95"/>
  <c r="D82" i="95" s="1"/>
  <c r="C33" i="95"/>
  <c r="C82" i="95" s="1"/>
  <c r="O24" i="95"/>
  <c r="O73" i="95" s="1"/>
  <c r="O23" i="95"/>
  <c r="O72" i="95" s="1"/>
  <c r="O22" i="95"/>
  <c r="O71" i="95" s="1"/>
  <c r="N21" i="95"/>
  <c r="N70" i="95" s="1"/>
  <c r="M21" i="95"/>
  <c r="M70" i="95" s="1"/>
  <c r="L21" i="95"/>
  <c r="L70" i="95" s="1"/>
  <c r="K21" i="95"/>
  <c r="K70" i="95" s="1"/>
  <c r="J21" i="95"/>
  <c r="J70" i="95" s="1"/>
  <c r="I21" i="95"/>
  <c r="I70" i="95" s="1"/>
  <c r="H21" i="95"/>
  <c r="H70" i="95" s="1"/>
  <c r="G21" i="95"/>
  <c r="G70" i="95" s="1"/>
  <c r="F21" i="95"/>
  <c r="F70" i="95" s="1"/>
  <c r="E21" i="95"/>
  <c r="E70" i="95" s="1"/>
  <c r="D21" i="95"/>
  <c r="D70" i="95" s="1"/>
  <c r="C21" i="95"/>
  <c r="C70" i="95" s="1"/>
  <c r="O20" i="95"/>
  <c r="O69" i="95" s="1"/>
  <c r="O19" i="95"/>
  <c r="O68" i="95" s="1"/>
  <c r="O18" i="95"/>
  <c r="O67" i="95" s="1"/>
  <c r="O17" i="95"/>
  <c r="O66" i="95" s="1"/>
  <c r="N16" i="95"/>
  <c r="N65" i="95" s="1"/>
  <c r="M16" i="95"/>
  <c r="M65" i="95" s="1"/>
  <c r="L16" i="95"/>
  <c r="K16" i="95"/>
  <c r="K15" i="95" s="1"/>
  <c r="J16" i="95"/>
  <c r="J65" i="95" s="1"/>
  <c r="I16" i="95"/>
  <c r="I65" i="95" s="1"/>
  <c r="H16" i="95"/>
  <c r="G16" i="95"/>
  <c r="G15" i="95" s="1"/>
  <c r="F16" i="95"/>
  <c r="F65" i="95" s="1"/>
  <c r="E16" i="95"/>
  <c r="E65" i="95" s="1"/>
  <c r="D16" i="95"/>
  <c r="C16" i="95"/>
  <c r="C65" i="95" s="1"/>
  <c r="N15" i="95"/>
  <c r="N64" i="95" s="1"/>
  <c r="M15" i="95"/>
  <c r="I15" i="95"/>
  <c r="O13" i="95"/>
  <c r="O62" i="95" s="1"/>
  <c r="O12" i="95"/>
  <c r="O61" i="95" s="1"/>
  <c r="O11" i="95"/>
  <c r="O60" i="95" s="1"/>
  <c r="O10" i="95"/>
  <c r="O59" i="95" s="1"/>
  <c r="O9" i="95"/>
  <c r="O58" i="95" s="1"/>
  <c r="N8" i="95"/>
  <c r="N57" i="95" s="1"/>
  <c r="M8" i="95"/>
  <c r="M57" i="95" s="1"/>
  <c r="L8" i="95"/>
  <c r="K8" i="95"/>
  <c r="K7" i="95" s="1"/>
  <c r="J8" i="95"/>
  <c r="J57" i="95" s="1"/>
  <c r="I8" i="95"/>
  <c r="I57" i="95" s="1"/>
  <c r="H8" i="95"/>
  <c r="G8" i="95"/>
  <c r="G7" i="95" s="1"/>
  <c r="F8" i="95"/>
  <c r="F57" i="95" s="1"/>
  <c r="E8" i="95"/>
  <c r="E57" i="95" s="1"/>
  <c r="D8" i="95"/>
  <c r="C8" i="95"/>
  <c r="C57" i="95" s="1"/>
  <c r="N7" i="95"/>
  <c r="M7" i="95"/>
  <c r="M56" i="95" s="1"/>
  <c r="T9" i="13"/>
  <c r="T8" i="13"/>
  <c r="T20" i="13"/>
  <c r="T16" i="13" s="1"/>
  <c r="T32" i="13"/>
  <c r="T30" i="13" s="1"/>
  <c r="T41" i="13"/>
  <c r="T67" i="13"/>
  <c r="T63" i="13"/>
  <c r="T60" i="13"/>
  <c r="T57" i="13"/>
  <c r="T53" i="13"/>
  <c r="O75" i="94"/>
  <c r="O74" i="94"/>
  <c r="O71" i="94"/>
  <c r="O70" i="94"/>
  <c r="O69" i="94"/>
  <c r="O68" i="94"/>
  <c r="O67" i="94"/>
  <c r="N66" i="94"/>
  <c r="M66" i="94"/>
  <c r="L66" i="94"/>
  <c r="K66" i="94"/>
  <c r="J66" i="94"/>
  <c r="I66" i="94"/>
  <c r="H66" i="94"/>
  <c r="G66" i="94"/>
  <c r="F66" i="94"/>
  <c r="E66" i="94"/>
  <c r="D66" i="94"/>
  <c r="C66" i="94"/>
  <c r="O65" i="94"/>
  <c r="O64" i="94"/>
  <c r="O63" i="94"/>
  <c r="N62" i="94"/>
  <c r="M62" i="94"/>
  <c r="L62" i="94"/>
  <c r="K62" i="94"/>
  <c r="J62" i="94"/>
  <c r="I62" i="94"/>
  <c r="H62" i="94"/>
  <c r="G62" i="94"/>
  <c r="F62" i="94"/>
  <c r="E62" i="94"/>
  <c r="D62" i="94"/>
  <c r="C62" i="94"/>
  <c r="O61" i="94"/>
  <c r="O60" i="94"/>
  <c r="N59" i="94"/>
  <c r="M59" i="94"/>
  <c r="L59" i="94"/>
  <c r="K59" i="94"/>
  <c r="J59" i="94"/>
  <c r="I59" i="94"/>
  <c r="H59" i="94"/>
  <c r="G59" i="94"/>
  <c r="F59" i="94"/>
  <c r="E59" i="94"/>
  <c r="D59" i="94"/>
  <c r="C59" i="94"/>
  <c r="O58" i="94"/>
  <c r="O57" i="94"/>
  <c r="N56" i="94"/>
  <c r="M56" i="94"/>
  <c r="L56" i="94"/>
  <c r="K56" i="94"/>
  <c r="J56" i="94"/>
  <c r="I56" i="94"/>
  <c r="H56" i="94"/>
  <c r="G56" i="94"/>
  <c r="F56" i="94"/>
  <c r="E56" i="94"/>
  <c r="E55" i="94" s="1"/>
  <c r="D56" i="94"/>
  <c r="C56" i="94"/>
  <c r="O54" i="94"/>
  <c r="O53" i="94"/>
  <c r="N52" i="94"/>
  <c r="M52" i="94"/>
  <c r="L52" i="94"/>
  <c r="K52" i="94"/>
  <c r="J52" i="94"/>
  <c r="I52" i="94"/>
  <c r="H52" i="94"/>
  <c r="G52" i="94"/>
  <c r="F52" i="94"/>
  <c r="E52" i="94"/>
  <c r="D52" i="94"/>
  <c r="C52" i="94"/>
  <c r="O46" i="94"/>
  <c r="O45" i="94"/>
  <c r="O44" i="94"/>
  <c r="O43" i="94"/>
  <c r="O42" i="94"/>
  <c r="N41" i="94"/>
  <c r="M41" i="94"/>
  <c r="L41" i="94"/>
  <c r="K41" i="94"/>
  <c r="J41" i="94"/>
  <c r="I41" i="94"/>
  <c r="H41" i="94"/>
  <c r="G41" i="94"/>
  <c r="F41" i="94"/>
  <c r="E41" i="94"/>
  <c r="D41" i="94"/>
  <c r="C41" i="94"/>
  <c r="O40" i="94"/>
  <c r="O39" i="94"/>
  <c r="O38" i="94"/>
  <c r="O37" i="94"/>
  <c r="O36" i="94"/>
  <c r="O35" i="94"/>
  <c r="O34" i="94"/>
  <c r="O33" i="94"/>
  <c r="N32" i="94"/>
  <c r="N30" i="94" s="1"/>
  <c r="M32" i="94"/>
  <c r="M30" i="94" s="1"/>
  <c r="L32" i="94"/>
  <c r="L30" i="94" s="1"/>
  <c r="K32" i="94"/>
  <c r="J32" i="94"/>
  <c r="I32" i="94"/>
  <c r="I30" i="94" s="1"/>
  <c r="H30" i="94"/>
  <c r="E30" i="94"/>
  <c r="D30" i="94"/>
  <c r="O31" i="94"/>
  <c r="K30" i="94"/>
  <c r="J30" i="94"/>
  <c r="G30" i="94"/>
  <c r="F30" i="94"/>
  <c r="C30" i="94"/>
  <c r="O29" i="94"/>
  <c r="O28" i="94"/>
  <c r="O27" i="94"/>
  <c r="O26" i="94"/>
  <c r="O25" i="94"/>
  <c r="O24" i="94"/>
  <c r="O23" i="94"/>
  <c r="O22" i="94"/>
  <c r="O21" i="94"/>
  <c r="N20" i="94"/>
  <c r="N16" i="94" s="1"/>
  <c r="M20" i="94"/>
  <c r="L20" i="94"/>
  <c r="L16" i="94" s="1"/>
  <c r="K20" i="94"/>
  <c r="J20" i="94"/>
  <c r="J16" i="94" s="1"/>
  <c r="J15" i="94" s="1"/>
  <c r="I20" i="94"/>
  <c r="H16" i="94"/>
  <c r="G16" i="94"/>
  <c r="F16" i="94"/>
  <c r="F15" i="94" s="1"/>
  <c r="E16" i="94"/>
  <c r="D16" i="94"/>
  <c r="C16" i="94"/>
  <c r="O19" i="94"/>
  <c r="O18" i="94"/>
  <c r="O17" i="94"/>
  <c r="M16" i="94"/>
  <c r="K16" i="94"/>
  <c r="K15" i="94" s="1"/>
  <c r="I16" i="94"/>
  <c r="O14" i="94"/>
  <c r="O13" i="94"/>
  <c r="O12" i="94"/>
  <c r="O11" i="94"/>
  <c r="O10" i="94"/>
  <c r="N9" i="94"/>
  <c r="N8" i="94" s="1"/>
  <c r="M9" i="94"/>
  <c r="M8" i="94" s="1"/>
  <c r="L9" i="94"/>
  <c r="L8" i="94" s="1"/>
  <c r="K9" i="94"/>
  <c r="J9" i="94"/>
  <c r="J8" i="94" s="1"/>
  <c r="I9" i="94"/>
  <c r="I8" i="94" s="1"/>
  <c r="H9" i="94"/>
  <c r="H8" i="94" s="1"/>
  <c r="G9" i="94"/>
  <c r="F9" i="94"/>
  <c r="F8" i="94" s="1"/>
  <c r="E9" i="94"/>
  <c r="E8" i="94" s="1"/>
  <c r="D9" i="94"/>
  <c r="D8" i="94" s="1"/>
  <c r="C9" i="94"/>
  <c r="K8" i="94"/>
  <c r="K49" i="94" s="1"/>
  <c r="G8" i="94"/>
  <c r="T82" i="56"/>
  <c r="T81" i="56"/>
  <c r="T76" i="56"/>
  <c r="T74" i="56"/>
  <c r="T72" i="56"/>
  <c r="T71" i="56"/>
  <c r="T70" i="56"/>
  <c r="T69" i="56"/>
  <c r="T68" i="56"/>
  <c r="T67" i="56"/>
  <c r="T65" i="56"/>
  <c r="T64" i="56"/>
  <c r="T62" i="56"/>
  <c r="T61" i="56"/>
  <c r="T60" i="56"/>
  <c r="T59" i="56"/>
  <c r="T58" i="56"/>
  <c r="T57" i="56"/>
  <c r="T56" i="56"/>
  <c r="T55" i="56"/>
  <c r="T54" i="56"/>
  <c r="T53" i="56"/>
  <c r="T36" i="56"/>
  <c r="T80" i="56" s="1"/>
  <c r="T29" i="56"/>
  <c r="T73" i="56" s="1"/>
  <c r="T22" i="56"/>
  <c r="T66" i="56" s="1"/>
  <c r="T14" i="56"/>
  <c r="T8" i="56"/>
  <c r="T7" i="56" s="1"/>
  <c r="T34" i="56" s="1"/>
  <c r="T78" i="56" s="1"/>
  <c r="T12" i="79"/>
  <c r="T20" i="76"/>
  <c r="T10" i="76" s="1"/>
  <c r="T28" i="72"/>
  <c r="T11" i="72"/>
  <c r="T10" i="72"/>
  <c r="T9" i="72"/>
  <c r="T8" i="72"/>
  <c r="T7" i="72"/>
  <c r="T6" i="72"/>
  <c r="AD7" i="69"/>
  <c r="T52" i="56" l="1"/>
  <c r="T56" i="13"/>
  <c r="N15" i="94"/>
  <c r="T51" i="56"/>
  <c r="F55" i="94"/>
  <c r="U86" i="3"/>
  <c r="E15" i="95"/>
  <c r="E64" i="95" s="1"/>
  <c r="G55" i="94"/>
  <c r="K55" i="94"/>
  <c r="D55" i="94"/>
  <c r="L55" i="94"/>
  <c r="I55" i="94"/>
  <c r="M55" i="94"/>
  <c r="J49" i="94"/>
  <c r="J50" i="94" s="1"/>
  <c r="N49" i="94"/>
  <c r="N50" i="94" s="1"/>
  <c r="K50" i="94"/>
  <c r="K51" i="94"/>
  <c r="C47" i="94"/>
  <c r="N51" i="94"/>
  <c r="U16" i="3"/>
  <c r="U84" i="3" s="1"/>
  <c r="U77" i="3"/>
  <c r="U27" i="3"/>
  <c r="U95" i="3" s="1"/>
  <c r="G65" i="95"/>
  <c r="F15" i="95"/>
  <c r="F25" i="95" s="1"/>
  <c r="F74" i="95" s="1"/>
  <c r="O16" i="95"/>
  <c r="O65" i="95" s="1"/>
  <c r="E7" i="95"/>
  <c r="E56" i="95" s="1"/>
  <c r="G25" i="95"/>
  <c r="G74" i="95" s="1"/>
  <c r="F7" i="95"/>
  <c r="G57" i="95"/>
  <c r="N14" i="95"/>
  <c r="N63" i="95" s="1"/>
  <c r="J15" i="95"/>
  <c r="K65" i="95"/>
  <c r="K57" i="95"/>
  <c r="I7" i="95"/>
  <c r="I56" i="95" s="1"/>
  <c r="J7" i="95"/>
  <c r="J56" i="95" s="1"/>
  <c r="K25" i="95"/>
  <c r="K74" i="95" s="1"/>
  <c r="H57" i="95"/>
  <c r="H7" i="95"/>
  <c r="K14" i="95"/>
  <c r="K63" i="95" s="1"/>
  <c r="K64" i="95"/>
  <c r="D65" i="95"/>
  <c r="D15" i="95"/>
  <c r="H65" i="95"/>
  <c r="H15" i="95"/>
  <c r="H25" i="95" s="1"/>
  <c r="H74" i="95" s="1"/>
  <c r="L65" i="95"/>
  <c r="L15" i="95"/>
  <c r="L25" i="95" s="1"/>
  <c r="L74" i="95" s="1"/>
  <c r="O8" i="95"/>
  <c r="O57" i="95" s="1"/>
  <c r="G56" i="95"/>
  <c r="K56" i="95"/>
  <c r="E14" i="95"/>
  <c r="M64" i="95"/>
  <c r="M14" i="95"/>
  <c r="M63" i="95" s="1"/>
  <c r="D57" i="95"/>
  <c r="D25" i="95"/>
  <c r="D74" i="95" s="1"/>
  <c r="D7" i="95"/>
  <c r="L57" i="95"/>
  <c r="L7" i="95"/>
  <c r="I64" i="95"/>
  <c r="I14" i="95"/>
  <c r="I63" i="95" s="1"/>
  <c r="G14" i="95"/>
  <c r="G63" i="95" s="1"/>
  <c r="G64" i="95"/>
  <c r="O21" i="95"/>
  <c r="O70" i="95" s="1"/>
  <c r="C7" i="95"/>
  <c r="C15" i="95"/>
  <c r="I25" i="95"/>
  <c r="I74" i="95" s="1"/>
  <c r="M25" i="95"/>
  <c r="M74" i="95" s="1"/>
  <c r="O33" i="95"/>
  <c r="O82" i="95" s="1"/>
  <c r="N56" i="95"/>
  <c r="N25" i="95"/>
  <c r="N74" i="95" s="1"/>
  <c r="O36" i="95"/>
  <c r="O85" i="95" s="1"/>
  <c r="T47" i="13"/>
  <c r="T15" i="13"/>
  <c r="T50" i="13" s="1"/>
  <c r="T73" i="13" s="1"/>
  <c r="J55" i="94"/>
  <c r="N55" i="94"/>
  <c r="O66" i="94"/>
  <c r="O62" i="94"/>
  <c r="C55" i="94"/>
  <c r="H55" i="94"/>
  <c r="O59" i="94"/>
  <c r="O56" i="94"/>
  <c r="O52" i="94"/>
  <c r="O41" i="94"/>
  <c r="G15" i="94"/>
  <c r="G49" i="94" s="1"/>
  <c r="O30" i="94"/>
  <c r="O32" i="94"/>
  <c r="L15" i="94"/>
  <c r="L49" i="94" s="1"/>
  <c r="I47" i="94"/>
  <c r="M47" i="94"/>
  <c r="K47" i="94"/>
  <c r="E47" i="94"/>
  <c r="G47" i="94"/>
  <c r="O20" i="94"/>
  <c r="F49" i="94"/>
  <c r="O16" i="94"/>
  <c r="D15" i="94"/>
  <c r="D49" i="94" s="1"/>
  <c r="H15" i="94"/>
  <c r="H49" i="94" s="1"/>
  <c r="O9" i="94"/>
  <c r="C8" i="94"/>
  <c r="O8" i="94" s="1"/>
  <c r="E15" i="94"/>
  <c r="E49" i="94" s="1"/>
  <c r="I15" i="94"/>
  <c r="I49" i="94" s="1"/>
  <c r="M15" i="94"/>
  <c r="M49" i="94" s="1"/>
  <c r="F47" i="94"/>
  <c r="J47" i="94"/>
  <c r="N47" i="94"/>
  <c r="C15" i="94"/>
  <c r="D47" i="94"/>
  <c r="H47" i="94"/>
  <c r="L47" i="94"/>
  <c r="T6" i="76"/>
  <c r="T7" i="76"/>
  <c r="T11" i="76"/>
  <c r="T8" i="76"/>
  <c r="T9" i="76"/>
  <c r="O36" i="93"/>
  <c r="O35" i="93"/>
  <c r="N34" i="93"/>
  <c r="M34" i="93"/>
  <c r="L34" i="93"/>
  <c r="K34" i="93"/>
  <c r="J34" i="93"/>
  <c r="I34" i="93"/>
  <c r="H34" i="93"/>
  <c r="G34" i="93"/>
  <c r="F34" i="93"/>
  <c r="E34" i="93"/>
  <c r="D34" i="93"/>
  <c r="C34" i="93"/>
  <c r="O31" i="93"/>
  <c r="O30" i="93"/>
  <c r="N29" i="93"/>
  <c r="M29" i="93"/>
  <c r="L29" i="93"/>
  <c r="K29" i="93"/>
  <c r="J29" i="93"/>
  <c r="I29" i="93"/>
  <c r="H29" i="93"/>
  <c r="G29" i="93"/>
  <c r="F29" i="93"/>
  <c r="E29" i="93"/>
  <c r="D29" i="93"/>
  <c r="C29" i="93"/>
  <c r="O28" i="93"/>
  <c r="O27" i="93"/>
  <c r="O26" i="93"/>
  <c r="O25" i="93"/>
  <c r="O24" i="93"/>
  <c r="O23" i="93"/>
  <c r="N22" i="93"/>
  <c r="M22" i="93"/>
  <c r="L22" i="93"/>
  <c r="K22" i="93"/>
  <c r="J22" i="93"/>
  <c r="I22" i="93"/>
  <c r="H22" i="93"/>
  <c r="G22" i="93"/>
  <c r="F22" i="93"/>
  <c r="E22" i="93"/>
  <c r="D22" i="93"/>
  <c r="C22" i="93"/>
  <c r="O21" i="93"/>
  <c r="O20" i="93"/>
  <c r="O19" i="93"/>
  <c r="O18" i="93"/>
  <c r="O17" i="93"/>
  <c r="O16" i="93"/>
  <c r="O15" i="93"/>
  <c r="N14" i="93"/>
  <c r="N8" i="93" s="1"/>
  <c r="M14" i="93"/>
  <c r="M8" i="93" s="1"/>
  <c r="L14" i="93"/>
  <c r="K14" i="93"/>
  <c r="K8" i="93" s="1"/>
  <c r="J14" i="93"/>
  <c r="I14" i="93"/>
  <c r="I8" i="93" s="1"/>
  <c r="H14" i="93"/>
  <c r="H8" i="93" s="1"/>
  <c r="G14" i="93"/>
  <c r="G8" i="93" s="1"/>
  <c r="F14" i="93"/>
  <c r="F8" i="93" s="1"/>
  <c r="E14" i="93"/>
  <c r="E8" i="93" s="1"/>
  <c r="D14" i="93"/>
  <c r="D8" i="93" s="1"/>
  <c r="C14" i="93"/>
  <c r="AD13" i="93"/>
  <c r="AC13" i="93"/>
  <c r="AB13" i="93"/>
  <c r="AA13" i="93"/>
  <c r="Z13" i="93"/>
  <c r="Y13" i="93"/>
  <c r="X13" i="93"/>
  <c r="W13" i="93"/>
  <c r="V13" i="93"/>
  <c r="U13" i="93"/>
  <c r="T13" i="93"/>
  <c r="S13" i="93"/>
  <c r="AE13" i="93" s="1"/>
  <c r="O13" i="93"/>
  <c r="O12" i="93"/>
  <c r="AE11" i="93"/>
  <c r="O11" i="93"/>
  <c r="AE10" i="93"/>
  <c r="O10" i="93"/>
  <c r="O9" i="93"/>
  <c r="L8" i="93"/>
  <c r="L7" i="93" s="1"/>
  <c r="J8" i="93"/>
  <c r="E25" i="95" l="1"/>
  <c r="E74" i="95" s="1"/>
  <c r="F72" i="94"/>
  <c r="O55" i="94"/>
  <c r="J51" i="94"/>
  <c r="L50" i="94"/>
  <c r="L51" i="94"/>
  <c r="M51" i="94"/>
  <c r="M50" i="94"/>
  <c r="I51" i="94"/>
  <c r="I50" i="94"/>
  <c r="C49" i="94"/>
  <c r="C51" i="94" s="1"/>
  <c r="L32" i="93"/>
  <c r="U32" i="3"/>
  <c r="G30" i="95"/>
  <c r="F64" i="95"/>
  <c r="F14" i="95"/>
  <c r="F63" i="95" s="1"/>
  <c r="F56" i="95"/>
  <c r="M30" i="95"/>
  <c r="J64" i="95"/>
  <c r="J14" i="95"/>
  <c r="J63" i="95" s="1"/>
  <c r="J25" i="95"/>
  <c r="J74" i="95" s="1"/>
  <c r="N30" i="95"/>
  <c r="N27" i="95" s="1"/>
  <c r="I30" i="95"/>
  <c r="C56" i="95"/>
  <c r="O7" i="95"/>
  <c r="O56" i="95" s="1"/>
  <c r="L56" i="95"/>
  <c r="E30" i="95"/>
  <c r="E27" i="95" s="1"/>
  <c r="E63" i="95"/>
  <c r="L14" i="95"/>
  <c r="L63" i="95" s="1"/>
  <c r="L64" i="95"/>
  <c r="D14" i="95"/>
  <c r="D63" i="95" s="1"/>
  <c r="D64" i="95"/>
  <c r="D56" i="95"/>
  <c r="H14" i="95"/>
  <c r="H63" i="95" s="1"/>
  <c r="H64" i="95"/>
  <c r="K30" i="95"/>
  <c r="K27" i="95" s="1"/>
  <c r="H56" i="95"/>
  <c r="C14" i="95"/>
  <c r="C64" i="95"/>
  <c r="O15" i="95"/>
  <c r="O64" i="95" s="1"/>
  <c r="C25" i="95"/>
  <c r="T52" i="13"/>
  <c r="T51" i="13"/>
  <c r="T48" i="13"/>
  <c r="N72" i="94"/>
  <c r="G72" i="94"/>
  <c r="G50" i="94"/>
  <c r="F50" i="94"/>
  <c r="J72" i="94"/>
  <c r="F51" i="94"/>
  <c r="G51" i="94"/>
  <c r="I72" i="94"/>
  <c r="M72" i="94"/>
  <c r="L72" i="94"/>
  <c r="C72" i="94"/>
  <c r="O47" i="94"/>
  <c r="E72" i="94"/>
  <c r="E51" i="94"/>
  <c r="E50" i="94"/>
  <c r="H72" i="94"/>
  <c r="H51" i="94"/>
  <c r="H50" i="94"/>
  <c r="O15" i="94"/>
  <c r="D72" i="94"/>
  <c r="D51" i="94"/>
  <c r="D50" i="94"/>
  <c r="K72" i="94"/>
  <c r="O29" i="93"/>
  <c r="H7" i="93"/>
  <c r="H32" i="93" s="1"/>
  <c r="D7" i="93"/>
  <c r="D32" i="93" s="1"/>
  <c r="F7" i="93"/>
  <c r="F32" i="93" s="1"/>
  <c r="E7" i="93"/>
  <c r="E32" i="93" s="1"/>
  <c r="G7" i="93"/>
  <c r="G32" i="93" s="1"/>
  <c r="O34" i="93"/>
  <c r="I7" i="93"/>
  <c r="I32" i="93" s="1"/>
  <c r="M7" i="93"/>
  <c r="M32" i="93" s="1"/>
  <c r="K7" i="93"/>
  <c r="K32" i="93" s="1"/>
  <c r="J7" i="93"/>
  <c r="J32" i="93" s="1"/>
  <c r="N7" i="93"/>
  <c r="N32" i="93" s="1"/>
  <c r="O22" i="93"/>
  <c r="O14" i="93"/>
  <c r="C8" i="93"/>
  <c r="O30" i="33"/>
  <c r="O27" i="33"/>
  <c r="O22" i="33" s="1"/>
  <c r="O15" i="33"/>
  <c r="O10" i="33"/>
  <c r="O7" i="33"/>
  <c r="O122" i="33"/>
  <c r="O121" i="33"/>
  <c r="O119" i="33"/>
  <c r="O118" i="33"/>
  <c r="O117" i="33"/>
  <c r="O116" i="33"/>
  <c r="O114" i="33"/>
  <c r="O113" i="33"/>
  <c r="O111" i="33"/>
  <c r="O110" i="33"/>
  <c r="O109" i="33"/>
  <c r="O108" i="33"/>
  <c r="O106" i="33"/>
  <c r="O105" i="33"/>
  <c r="O104" i="33"/>
  <c r="O103" i="33"/>
  <c r="O102" i="33"/>
  <c r="O101" i="33"/>
  <c r="O99" i="33"/>
  <c r="O98" i="33"/>
  <c r="O97" i="33"/>
  <c r="O96" i="33"/>
  <c r="O94" i="33"/>
  <c r="O93" i="33"/>
  <c r="E76" i="95" l="1"/>
  <c r="E28" i="95"/>
  <c r="E77" i="95" s="1"/>
  <c r="I44" i="95"/>
  <c r="I27" i="95"/>
  <c r="N76" i="95"/>
  <c r="N28" i="95"/>
  <c r="N77" i="95" s="1"/>
  <c r="M44" i="95"/>
  <c r="M27" i="95"/>
  <c r="G31" i="95"/>
  <c r="G80" i="95" s="1"/>
  <c r="G27" i="95"/>
  <c r="K76" i="95"/>
  <c r="K28" i="95"/>
  <c r="K77" i="95" s="1"/>
  <c r="O95" i="33"/>
  <c r="U100" i="3"/>
  <c r="U29" i="3"/>
  <c r="I79" i="95"/>
  <c r="L30" i="95"/>
  <c r="L27" i="95" s="1"/>
  <c r="F30" i="95"/>
  <c r="G44" i="95"/>
  <c r="G32" i="95"/>
  <c r="G81" i="95" s="1"/>
  <c r="M79" i="95"/>
  <c r="G79" i="95"/>
  <c r="M31" i="95"/>
  <c r="M80" i="95" s="1"/>
  <c r="O49" i="94"/>
  <c r="C50" i="94"/>
  <c r="O50" i="94" s="1"/>
  <c r="O112" i="33"/>
  <c r="U34" i="3"/>
  <c r="AC34" i="3" s="1"/>
  <c r="U46" i="3"/>
  <c r="U33" i="3"/>
  <c r="U101" i="3" s="1"/>
  <c r="F32" i="95"/>
  <c r="F81" i="95" s="1"/>
  <c r="F44" i="95"/>
  <c r="F31" i="95"/>
  <c r="F80" i="95" s="1"/>
  <c r="H30" i="95"/>
  <c r="H27" i="95" s="1"/>
  <c r="M32" i="95"/>
  <c r="M81" i="95" s="1"/>
  <c r="N79" i="95"/>
  <c r="N32" i="95"/>
  <c r="N81" i="95" s="1"/>
  <c r="N44" i="95"/>
  <c r="N31" i="95"/>
  <c r="N80" i="95" s="1"/>
  <c r="J30" i="95"/>
  <c r="J27" i="95" s="1"/>
  <c r="I32" i="95"/>
  <c r="I81" i="95" s="1"/>
  <c r="I31" i="95"/>
  <c r="I80" i="95" s="1"/>
  <c r="L32" i="95"/>
  <c r="L81" i="95" s="1"/>
  <c r="O14" i="95"/>
  <c r="O63" i="95" s="1"/>
  <c r="C63" i="95"/>
  <c r="K44" i="95"/>
  <c r="K79" i="95"/>
  <c r="K31" i="95"/>
  <c r="K80" i="95" s="1"/>
  <c r="K32" i="95"/>
  <c r="K81" i="95" s="1"/>
  <c r="E79" i="95"/>
  <c r="E31" i="95"/>
  <c r="E80" i="95" s="1"/>
  <c r="E44" i="95"/>
  <c r="E32" i="95"/>
  <c r="E81" i="95" s="1"/>
  <c r="C30" i="95"/>
  <c r="C27" i="95" s="1"/>
  <c r="C74" i="95"/>
  <c r="O25" i="95"/>
  <c r="O74" i="95" s="1"/>
  <c r="D30" i="95"/>
  <c r="D27" i="95" s="1"/>
  <c r="O51" i="94"/>
  <c r="O72" i="94"/>
  <c r="O92" i="33"/>
  <c r="C7" i="93"/>
  <c r="O8" i="93"/>
  <c r="O38" i="33"/>
  <c r="O100" i="33"/>
  <c r="O115" i="33"/>
  <c r="O107" i="33"/>
  <c r="S126" i="39"/>
  <c r="S125" i="39"/>
  <c r="S124" i="39"/>
  <c r="S121" i="39"/>
  <c r="S120" i="39"/>
  <c r="S119" i="39"/>
  <c r="S118" i="39"/>
  <c r="S117" i="39"/>
  <c r="S116" i="39"/>
  <c r="S114" i="39"/>
  <c r="S113" i="39"/>
  <c r="S112" i="39"/>
  <c r="S110" i="39"/>
  <c r="S109" i="39"/>
  <c r="S108" i="39"/>
  <c r="S107" i="39"/>
  <c r="S106" i="39"/>
  <c r="S104" i="39"/>
  <c r="S103" i="39"/>
  <c r="S102" i="39"/>
  <c r="S101" i="39"/>
  <c r="S100" i="39"/>
  <c r="S99" i="39"/>
  <c r="S98" i="39"/>
  <c r="S97" i="39"/>
  <c r="S96" i="39"/>
  <c r="S94" i="39"/>
  <c r="S93" i="39" s="1"/>
  <c r="S92" i="39"/>
  <c r="S91" i="39" s="1"/>
  <c r="S38" i="39"/>
  <c r="S30" i="39"/>
  <c r="S26" i="39"/>
  <c r="S10" i="39"/>
  <c r="S8" i="39"/>
  <c r="S6" i="39"/>
  <c r="E28" i="40"/>
  <c r="D28" i="40"/>
  <c r="E24" i="40"/>
  <c r="D24" i="40"/>
  <c r="E8" i="40"/>
  <c r="D8" i="40"/>
  <c r="J26" i="35"/>
  <c r="D76" i="95" l="1"/>
  <c r="D28" i="95"/>
  <c r="D77" i="95" s="1"/>
  <c r="M76" i="95"/>
  <c r="M28" i="95"/>
  <c r="M77" i="95" s="1"/>
  <c r="F79" i="95"/>
  <c r="F27" i="95"/>
  <c r="G28" i="95"/>
  <c r="G77" i="95" s="1"/>
  <c r="G76" i="95"/>
  <c r="I76" i="95"/>
  <c r="I28" i="95"/>
  <c r="I77" i="95" s="1"/>
  <c r="J28" i="95"/>
  <c r="J77" i="95" s="1"/>
  <c r="J76" i="95"/>
  <c r="C76" i="95"/>
  <c r="C28" i="95"/>
  <c r="O27" i="95"/>
  <c r="O76" i="95" s="1"/>
  <c r="H76" i="95"/>
  <c r="H28" i="95"/>
  <c r="H77" i="95" s="1"/>
  <c r="L28" i="95"/>
  <c r="L77" i="95" s="1"/>
  <c r="L76" i="95"/>
  <c r="U97" i="3"/>
  <c r="U30" i="3"/>
  <c r="U98" i="3" s="1"/>
  <c r="U102" i="3"/>
  <c r="L31" i="95"/>
  <c r="L80" i="95" s="1"/>
  <c r="L44" i="95"/>
  <c r="L79" i="95"/>
  <c r="H44" i="95"/>
  <c r="H79" i="95"/>
  <c r="H31" i="95"/>
  <c r="H80" i="95" s="1"/>
  <c r="H32" i="95"/>
  <c r="H81" i="95" s="1"/>
  <c r="J32" i="95"/>
  <c r="J81" i="95" s="1"/>
  <c r="J44" i="95"/>
  <c r="J79" i="95"/>
  <c r="J31" i="95"/>
  <c r="J80" i="95" s="1"/>
  <c r="C44" i="95"/>
  <c r="C79" i="95"/>
  <c r="C31" i="95"/>
  <c r="O30" i="95"/>
  <c r="O79" i="95" s="1"/>
  <c r="C32" i="95"/>
  <c r="D32" i="95"/>
  <c r="D81" i="95" s="1"/>
  <c r="D79" i="95"/>
  <c r="D44" i="95"/>
  <c r="D31" i="95"/>
  <c r="D80" i="95" s="1"/>
  <c r="O91" i="33"/>
  <c r="C32" i="93"/>
  <c r="O32" i="93" s="1"/>
  <c r="O7" i="93"/>
  <c r="O63" i="33"/>
  <c r="O75" i="33"/>
  <c r="O70" i="33"/>
  <c r="O66" i="33"/>
  <c r="O61" i="33"/>
  <c r="O53" i="33"/>
  <c r="O78" i="33"/>
  <c r="O73" i="33"/>
  <c r="O68" i="33"/>
  <c r="O59" i="33"/>
  <c r="O50" i="33"/>
  <c r="O76" i="33"/>
  <c r="O71" i="33"/>
  <c r="O67" i="33"/>
  <c r="O58" i="33"/>
  <c r="O79" i="33"/>
  <c r="O74" i="33"/>
  <c r="O65" i="33"/>
  <c r="O60" i="33"/>
  <c r="O56" i="33"/>
  <c r="O51" i="33"/>
  <c r="O55" i="33"/>
  <c r="O62" i="33"/>
  <c r="O54" i="33"/>
  <c r="S123" i="39"/>
  <c r="S37" i="39"/>
  <c r="S42" i="39" s="1"/>
  <c r="S84" i="39" s="1"/>
  <c r="S95" i="39"/>
  <c r="S111" i="39"/>
  <c r="S115" i="39"/>
  <c r="E35" i="40"/>
  <c r="E51" i="40" s="1"/>
  <c r="D35" i="40"/>
  <c r="D51" i="40" s="1"/>
  <c r="C77" i="95" l="1"/>
  <c r="F76" i="95"/>
  <c r="F28" i="95"/>
  <c r="F77" i="95" s="1"/>
  <c r="O44" i="95"/>
  <c r="O31" i="95"/>
  <c r="O80" i="95" s="1"/>
  <c r="C80" i="95"/>
  <c r="C81" i="95"/>
  <c r="O32" i="95"/>
  <c r="O49" i="33"/>
  <c r="O72" i="33"/>
  <c r="O57" i="33"/>
  <c r="O69" i="33"/>
  <c r="O64" i="33" s="1"/>
  <c r="O52" i="33"/>
  <c r="S74" i="39"/>
  <c r="S122" i="39"/>
  <c r="S127" i="39" s="1"/>
  <c r="S78" i="39"/>
  <c r="S64" i="39"/>
  <c r="S55" i="39"/>
  <c r="S58" i="39"/>
  <c r="S50" i="39"/>
  <c r="S49" i="39" s="1"/>
  <c r="S68" i="39"/>
  <c r="S62" i="39"/>
  <c r="S83" i="39"/>
  <c r="S66" i="39"/>
  <c r="S59" i="39"/>
  <c r="S72" i="39"/>
  <c r="S57" i="39"/>
  <c r="S54" i="39"/>
  <c r="S52" i="39"/>
  <c r="S51" i="39" s="1"/>
  <c r="S67" i="39"/>
  <c r="S82" i="39"/>
  <c r="S81" i="39" s="1"/>
  <c r="S61" i="39"/>
  <c r="S76" i="39"/>
  <c r="S77" i="39"/>
  <c r="S60" i="39"/>
  <c r="S79" i="39"/>
  <c r="S56" i="39"/>
  <c r="S75" i="39"/>
  <c r="S71" i="39"/>
  <c r="S70" i="39"/>
  <c r="S65" i="39"/>
  <c r="R20" i="13"/>
  <c r="U20" i="13"/>
  <c r="O28" i="61"/>
  <c r="O28" i="95" l="1"/>
  <c r="O77" i="95" s="1"/>
  <c r="O81" i="95"/>
  <c r="R32" i="95"/>
  <c r="O48" i="33"/>
  <c r="S73" i="39"/>
  <c r="S53" i="39"/>
  <c r="S69" i="39"/>
  <c r="T9" i="87"/>
  <c r="W9" i="87"/>
  <c r="X9" i="87"/>
  <c r="AA9" i="87"/>
  <c r="AB9" i="87"/>
  <c r="T7" i="87"/>
  <c r="U7" i="87"/>
  <c r="U9" i="87" s="1"/>
  <c r="V7" i="87"/>
  <c r="V9" i="87" s="1"/>
  <c r="W7" i="87"/>
  <c r="X7" i="87"/>
  <c r="Y7" i="87"/>
  <c r="Y9" i="87" s="1"/>
  <c r="Z7" i="87"/>
  <c r="Z9" i="87" s="1"/>
  <c r="AA7" i="87"/>
  <c r="AB7" i="87"/>
  <c r="AC7" i="87"/>
  <c r="AC9" i="87" s="1"/>
  <c r="AE7" i="87"/>
  <c r="AE9" i="87" s="1"/>
  <c r="S7" i="87"/>
  <c r="S9" i="87" s="1"/>
  <c r="D22" i="92"/>
  <c r="E22" i="92"/>
  <c r="F22" i="92"/>
  <c r="G22" i="92"/>
  <c r="H22" i="92"/>
  <c r="I22" i="92"/>
  <c r="J22" i="92"/>
  <c r="M22" i="92"/>
  <c r="C22" i="92"/>
  <c r="I13" i="92"/>
  <c r="H13" i="92"/>
  <c r="G13" i="92"/>
  <c r="F13" i="92"/>
  <c r="E13" i="92"/>
  <c r="D13" i="92"/>
  <c r="C13" i="92"/>
  <c r="S80" i="39" l="1"/>
  <c r="S85" i="39" s="1"/>
  <c r="V9" i="67"/>
  <c r="R9" i="67"/>
  <c r="N9" i="67"/>
  <c r="Y7" i="67"/>
  <c r="Y9" i="67" s="1"/>
  <c r="Z7" i="67"/>
  <c r="Z9" i="67" s="1"/>
  <c r="AA7" i="67"/>
  <c r="AA9" i="67" s="1"/>
  <c r="AB7" i="67"/>
  <c r="AB9" i="67" s="1"/>
  <c r="AD7" i="67"/>
  <c r="AD9" i="67" s="1"/>
  <c r="N7" i="67"/>
  <c r="O7" i="67"/>
  <c r="O9" i="67" s="1"/>
  <c r="P7" i="67"/>
  <c r="P9" i="67" s="1"/>
  <c r="Q7" i="67"/>
  <c r="Q9" i="67" s="1"/>
  <c r="R7" i="67"/>
  <c r="S7" i="67"/>
  <c r="S9" i="67" s="1"/>
  <c r="T7" i="67"/>
  <c r="T9" i="67" s="1"/>
  <c r="U7" i="67"/>
  <c r="U9" i="67" s="1"/>
  <c r="V7" i="67"/>
  <c r="W7" i="67"/>
  <c r="W9" i="67" s="1"/>
  <c r="X7" i="67"/>
  <c r="X9" i="67" s="1"/>
  <c r="M7" i="67"/>
  <c r="M9" i="67" s="1"/>
  <c r="Y9" i="64" l="1"/>
  <c r="U9" i="64"/>
  <c r="Q9" i="64"/>
  <c r="M9" i="64"/>
  <c r="AD8" i="64"/>
  <c r="AB7" i="64"/>
  <c r="AB9" i="64" s="1"/>
  <c r="AA7" i="64"/>
  <c r="AA9" i="64" s="1"/>
  <c r="Z7" i="64"/>
  <c r="Z9" i="64" s="1"/>
  <c r="Y7" i="64"/>
  <c r="X7" i="64"/>
  <c r="X9" i="64" s="1"/>
  <c r="W7" i="64"/>
  <c r="W9" i="64" s="1"/>
  <c r="V7" i="64"/>
  <c r="V9" i="64" s="1"/>
  <c r="U7" i="64"/>
  <c r="T7" i="64"/>
  <c r="T9" i="64" s="1"/>
  <c r="S7" i="64"/>
  <c r="S9" i="64" s="1"/>
  <c r="R7" i="64"/>
  <c r="R9" i="64" s="1"/>
  <c r="Q7" i="64"/>
  <c r="P7" i="64"/>
  <c r="P9" i="64" s="1"/>
  <c r="O7" i="64"/>
  <c r="O9" i="64" s="1"/>
  <c r="N7" i="64"/>
  <c r="N9" i="64" s="1"/>
  <c r="M7" i="64"/>
  <c r="L7" i="64"/>
  <c r="K7" i="64"/>
  <c r="J7" i="64"/>
  <c r="I7" i="64"/>
  <c r="H7" i="64"/>
  <c r="G7" i="64"/>
  <c r="F7" i="64"/>
  <c r="E7" i="64"/>
  <c r="D7" i="64"/>
  <c r="C7" i="64"/>
  <c r="AD9" i="64"/>
  <c r="C8" i="60" l="1"/>
  <c r="D8" i="60"/>
  <c r="E8" i="60"/>
  <c r="F8" i="60"/>
  <c r="G8" i="60"/>
  <c r="H8" i="60"/>
  <c r="I8" i="60"/>
  <c r="J8" i="60"/>
  <c r="K8" i="60"/>
  <c r="L8" i="60"/>
  <c r="M8" i="60"/>
  <c r="N8" i="60"/>
  <c r="S28" i="72" l="1"/>
  <c r="U28" i="72"/>
  <c r="R28" i="72"/>
  <c r="Q28" i="72"/>
  <c r="P28" i="72"/>
  <c r="O28" i="72"/>
  <c r="N28" i="72"/>
  <c r="M28" i="72"/>
  <c r="L28" i="72"/>
  <c r="K28" i="72"/>
  <c r="J28" i="72"/>
  <c r="I28" i="72"/>
  <c r="H28" i="72"/>
  <c r="G28" i="72"/>
  <c r="F28" i="72"/>
  <c r="E28" i="72"/>
  <c r="D28" i="72"/>
  <c r="C28" i="72"/>
  <c r="F62" i="44" l="1"/>
  <c r="E62" i="44"/>
  <c r="C12" i="50" l="1"/>
  <c r="C45" i="50"/>
  <c r="D41" i="50" s="1"/>
  <c r="D44" i="50" l="1"/>
  <c r="D43" i="50"/>
  <c r="D42" i="50"/>
  <c r="D45" i="50" l="1"/>
  <c r="AE8" i="87"/>
  <c r="AC8" i="87"/>
  <c r="AB8" i="87"/>
  <c r="AA8" i="87"/>
  <c r="Z8" i="87"/>
  <c r="Y8" i="87"/>
  <c r="X8" i="87"/>
  <c r="W8" i="87"/>
  <c r="V8" i="87"/>
  <c r="U8" i="87"/>
  <c r="T8" i="87"/>
  <c r="S8" i="87"/>
  <c r="R8" i="87"/>
  <c r="Q8" i="87"/>
  <c r="P8" i="87"/>
  <c r="O8" i="87"/>
  <c r="N8" i="87"/>
  <c r="M8" i="87"/>
  <c r="L8" i="87"/>
  <c r="K8" i="87"/>
  <c r="J8" i="87"/>
  <c r="I8" i="87"/>
  <c r="H8" i="87"/>
  <c r="G8" i="87"/>
  <c r="F8" i="87"/>
  <c r="E8" i="87"/>
  <c r="D8" i="87"/>
  <c r="C8" i="45"/>
  <c r="C14" i="45"/>
  <c r="C25" i="45"/>
  <c r="D25" i="45"/>
  <c r="D14" i="45"/>
  <c r="D8" i="45"/>
  <c r="C28" i="45" l="1"/>
  <c r="D28" i="45"/>
  <c r="F25" i="45" s="1"/>
  <c r="F10" i="45" l="1"/>
  <c r="F19" i="45"/>
  <c r="F28" i="45"/>
  <c r="F8" i="45"/>
  <c r="F18" i="45"/>
  <c r="F12" i="45"/>
  <c r="F11" i="45"/>
  <c r="F15" i="45"/>
  <c r="F20" i="45"/>
  <c r="F13" i="45"/>
  <c r="F9" i="45"/>
  <c r="F24" i="45"/>
  <c r="F14" i="45"/>
  <c r="F22" i="45"/>
  <c r="F23" i="45"/>
  <c r="F16" i="45"/>
  <c r="F27" i="45"/>
  <c r="F17" i="45"/>
  <c r="F21" i="45"/>
  <c r="F26" i="45"/>
  <c r="E26" i="45"/>
  <c r="E22" i="45"/>
  <c r="E18" i="45"/>
  <c r="E14" i="45"/>
  <c r="E10" i="45"/>
  <c r="E19" i="45"/>
  <c r="E25" i="45"/>
  <c r="E21" i="45"/>
  <c r="E17" i="45"/>
  <c r="E13" i="45"/>
  <c r="E9" i="45"/>
  <c r="E23" i="45"/>
  <c r="E11" i="45"/>
  <c r="E28" i="45"/>
  <c r="E24" i="45"/>
  <c r="E20" i="45"/>
  <c r="E16" i="45"/>
  <c r="E12" i="45"/>
  <c r="E8" i="45"/>
  <c r="E27" i="45"/>
  <c r="E15" i="45"/>
  <c r="C46" i="44"/>
  <c r="U6" i="84" l="1"/>
  <c r="S6" i="84"/>
  <c r="R6" i="84"/>
  <c r="Q6" i="84"/>
  <c r="P6" i="84"/>
  <c r="O6" i="84"/>
  <c r="N6" i="84"/>
  <c r="M6" i="84"/>
  <c r="L6" i="84"/>
  <c r="K6" i="84"/>
  <c r="J6" i="84"/>
  <c r="I6" i="84"/>
  <c r="H6" i="84"/>
  <c r="G6" i="84"/>
  <c r="F6" i="84"/>
  <c r="E6" i="84"/>
  <c r="D6" i="84"/>
  <c r="C6" i="84"/>
  <c r="U12" i="79"/>
  <c r="S12" i="79"/>
  <c r="R12" i="79"/>
  <c r="Q12" i="79"/>
  <c r="P12" i="79"/>
  <c r="O12" i="79"/>
  <c r="N12" i="79"/>
  <c r="M12" i="79"/>
  <c r="L12" i="79"/>
  <c r="K12" i="79"/>
  <c r="J12" i="79"/>
  <c r="I12" i="79"/>
  <c r="H12" i="79"/>
  <c r="G12" i="79"/>
  <c r="F12" i="79"/>
  <c r="E12" i="79"/>
  <c r="D12" i="79"/>
  <c r="C12" i="79"/>
  <c r="Q11" i="76"/>
  <c r="P11" i="76"/>
  <c r="M11" i="76"/>
  <c r="L11" i="76"/>
  <c r="I11" i="76"/>
  <c r="H11" i="76"/>
  <c r="Q10" i="76"/>
  <c r="P10" i="76"/>
  <c r="M10" i="76"/>
  <c r="L10" i="76"/>
  <c r="I10" i="76"/>
  <c r="H10" i="76"/>
  <c r="Q9" i="76"/>
  <c r="P9" i="76"/>
  <c r="M9" i="76"/>
  <c r="L9" i="76"/>
  <c r="I9" i="76"/>
  <c r="H9" i="76"/>
  <c r="Q8" i="76"/>
  <c r="P8" i="76"/>
  <c r="M8" i="76"/>
  <c r="L8" i="76"/>
  <c r="I8" i="76"/>
  <c r="H8" i="76"/>
  <c r="Q7" i="76"/>
  <c r="P7" i="76"/>
  <c r="M7" i="76"/>
  <c r="L7" i="76"/>
  <c r="I7" i="76"/>
  <c r="H7" i="76"/>
  <c r="Q6" i="76"/>
  <c r="P6" i="76"/>
  <c r="M6" i="76"/>
  <c r="L6" i="76"/>
  <c r="I6" i="76"/>
  <c r="H6" i="76"/>
  <c r="F10" i="76"/>
  <c r="E10" i="76"/>
  <c r="E9" i="76"/>
  <c r="D9" i="76"/>
  <c r="F7" i="76"/>
  <c r="F6" i="76"/>
  <c r="E6" i="76"/>
  <c r="U20" i="76"/>
  <c r="U10" i="76" s="1"/>
  <c r="S20" i="76"/>
  <c r="S11" i="76" s="1"/>
  <c r="R20" i="76"/>
  <c r="R11" i="76" s="1"/>
  <c r="Q20" i="76"/>
  <c r="P20" i="76"/>
  <c r="O20" i="76"/>
  <c r="O11" i="76" s="1"/>
  <c r="N20" i="76"/>
  <c r="N11" i="76" s="1"/>
  <c r="M20" i="76"/>
  <c r="L20" i="76"/>
  <c r="K20" i="76"/>
  <c r="K11" i="76" s="1"/>
  <c r="J20" i="76"/>
  <c r="J11" i="76" s="1"/>
  <c r="I20" i="76"/>
  <c r="H20" i="76"/>
  <c r="G20" i="76"/>
  <c r="G11" i="76" s="1"/>
  <c r="F20" i="76"/>
  <c r="F8" i="76" s="1"/>
  <c r="E20" i="76"/>
  <c r="E7" i="76" s="1"/>
  <c r="D20" i="76"/>
  <c r="D10" i="76" s="1"/>
  <c r="C20" i="76"/>
  <c r="C10" i="76" s="1"/>
  <c r="U11" i="72"/>
  <c r="S11" i="72"/>
  <c r="R11" i="72"/>
  <c r="Q11" i="72"/>
  <c r="P11" i="72"/>
  <c r="O11" i="72"/>
  <c r="N11" i="72"/>
  <c r="M11" i="72"/>
  <c r="L11" i="72"/>
  <c r="K11" i="72"/>
  <c r="J11" i="72"/>
  <c r="I11" i="72"/>
  <c r="H11" i="72"/>
  <c r="U10" i="72"/>
  <c r="S10" i="72"/>
  <c r="R10" i="72"/>
  <c r="Q10" i="72"/>
  <c r="P10" i="72"/>
  <c r="O10" i="72"/>
  <c r="N10" i="72"/>
  <c r="M10" i="72"/>
  <c r="L10" i="72"/>
  <c r="K10" i="72"/>
  <c r="J10" i="72"/>
  <c r="I10" i="72"/>
  <c r="H10" i="72"/>
  <c r="U9" i="72"/>
  <c r="S9" i="72"/>
  <c r="R9" i="72"/>
  <c r="Q9" i="72"/>
  <c r="P9" i="72"/>
  <c r="O9" i="72"/>
  <c r="N9" i="72"/>
  <c r="M9" i="72"/>
  <c r="L9" i="72"/>
  <c r="K9" i="72"/>
  <c r="J9" i="72"/>
  <c r="I9" i="72"/>
  <c r="H9" i="72"/>
  <c r="U8" i="72"/>
  <c r="S8" i="72"/>
  <c r="R8" i="72"/>
  <c r="Q8" i="72"/>
  <c r="P8" i="72"/>
  <c r="O8" i="72"/>
  <c r="N8" i="72"/>
  <c r="M8" i="72"/>
  <c r="L8" i="72"/>
  <c r="K8" i="72"/>
  <c r="J8" i="72"/>
  <c r="I8" i="72"/>
  <c r="H8" i="72"/>
  <c r="U7" i="72"/>
  <c r="S7" i="72"/>
  <c r="R7" i="72"/>
  <c r="Q7" i="72"/>
  <c r="P7" i="72"/>
  <c r="O7" i="72"/>
  <c r="N7" i="72"/>
  <c r="M7" i="72"/>
  <c r="L7" i="72"/>
  <c r="K7" i="72"/>
  <c r="J7" i="72"/>
  <c r="I7" i="72"/>
  <c r="H7" i="72"/>
  <c r="U6" i="72"/>
  <c r="S6" i="72"/>
  <c r="R6" i="72"/>
  <c r="Q6" i="72"/>
  <c r="P6" i="72"/>
  <c r="O6" i="72"/>
  <c r="N6" i="72"/>
  <c r="M6" i="72"/>
  <c r="L6" i="72"/>
  <c r="K6" i="72"/>
  <c r="J6" i="72"/>
  <c r="I6" i="72"/>
  <c r="H6" i="72"/>
  <c r="G11" i="72"/>
  <c r="G10" i="72"/>
  <c r="G9" i="72"/>
  <c r="G8" i="72"/>
  <c r="G7" i="72"/>
  <c r="G6" i="72"/>
  <c r="F10" i="72"/>
  <c r="E10" i="72"/>
  <c r="D10" i="72"/>
  <c r="F9" i="72"/>
  <c r="E9" i="72"/>
  <c r="D9" i="72"/>
  <c r="F8" i="72"/>
  <c r="E8" i="72"/>
  <c r="D8" i="72"/>
  <c r="F7" i="72"/>
  <c r="E7" i="72"/>
  <c r="D7" i="72"/>
  <c r="F6" i="72"/>
  <c r="E6" i="72"/>
  <c r="D6" i="72"/>
  <c r="C10" i="72"/>
  <c r="C9" i="72"/>
  <c r="C8" i="72"/>
  <c r="C7" i="72"/>
  <c r="C6" i="72"/>
  <c r="D7" i="69"/>
  <c r="AE7" i="69"/>
  <c r="AC7" i="69"/>
  <c r="AB7" i="69"/>
  <c r="AA7" i="69"/>
  <c r="Z7" i="69"/>
  <c r="Y7" i="69"/>
  <c r="X7" i="69"/>
  <c r="W7" i="69"/>
  <c r="V7" i="69"/>
  <c r="U7" i="69"/>
  <c r="T7" i="69"/>
  <c r="S7" i="69"/>
  <c r="R7" i="69"/>
  <c r="Q7" i="69"/>
  <c r="P7" i="69"/>
  <c r="O7" i="69"/>
  <c r="N7" i="69"/>
  <c r="M7" i="69"/>
  <c r="L7" i="69"/>
  <c r="K7" i="69"/>
  <c r="J7" i="69"/>
  <c r="I7" i="69"/>
  <c r="H7" i="69"/>
  <c r="G7" i="69"/>
  <c r="F7" i="69"/>
  <c r="E7" i="69"/>
  <c r="C7" i="69"/>
  <c r="G8" i="76" l="1"/>
  <c r="C8" i="76"/>
  <c r="G9" i="76"/>
  <c r="C6" i="76"/>
  <c r="C7" i="76"/>
  <c r="D7" i="76"/>
  <c r="E8" i="76"/>
  <c r="F9" i="76"/>
  <c r="G6" i="76"/>
  <c r="G10" i="76"/>
  <c r="J6" i="76"/>
  <c r="N6" i="76"/>
  <c r="R6" i="76"/>
  <c r="J7" i="76"/>
  <c r="N7" i="76"/>
  <c r="R7" i="76"/>
  <c r="J8" i="76"/>
  <c r="N8" i="76"/>
  <c r="R8" i="76"/>
  <c r="J9" i="76"/>
  <c r="N9" i="76"/>
  <c r="R9" i="76"/>
  <c r="J10" i="76"/>
  <c r="N10" i="76"/>
  <c r="R10" i="76"/>
  <c r="C9" i="76"/>
  <c r="D8" i="76"/>
  <c r="D6" i="76"/>
  <c r="G7" i="76"/>
  <c r="K6" i="76"/>
  <c r="O6" i="76"/>
  <c r="S6" i="76"/>
  <c r="K7" i="76"/>
  <c r="O7" i="76"/>
  <c r="S7" i="76"/>
  <c r="K8" i="76"/>
  <c r="O8" i="76"/>
  <c r="S8" i="76"/>
  <c r="K9" i="76"/>
  <c r="O9" i="76"/>
  <c r="S9" i="76"/>
  <c r="K10" i="76"/>
  <c r="O10" i="76"/>
  <c r="S10" i="76"/>
  <c r="U7" i="76"/>
  <c r="U8" i="76"/>
  <c r="U9" i="76"/>
  <c r="U11" i="76"/>
  <c r="U6" i="76"/>
  <c r="AD8" i="67"/>
  <c r="AB8" i="67"/>
  <c r="AA8" i="67"/>
  <c r="Z8" i="67"/>
  <c r="Y8" i="67"/>
  <c r="X8" i="67"/>
  <c r="W8" i="67"/>
  <c r="V8" i="67"/>
  <c r="U8" i="67"/>
  <c r="T8" i="67"/>
  <c r="S8" i="67"/>
  <c r="R8" i="67"/>
  <c r="Q8" i="67"/>
  <c r="P8" i="67"/>
  <c r="O8" i="67"/>
  <c r="N8" i="67"/>
  <c r="M8" i="67"/>
  <c r="L8" i="67"/>
  <c r="K8" i="67"/>
  <c r="J8" i="67"/>
  <c r="I8" i="67"/>
  <c r="H8" i="67"/>
  <c r="G8" i="67"/>
  <c r="F8" i="67"/>
  <c r="E8" i="67"/>
  <c r="D8" i="67"/>
  <c r="C8" i="67"/>
  <c r="AB8" i="64"/>
  <c r="AA8" i="64"/>
  <c r="Z8" i="64"/>
  <c r="Y8" i="64"/>
  <c r="X8" i="64"/>
  <c r="W8" i="64"/>
  <c r="V8" i="64"/>
  <c r="U8" i="64"/>
  <c r="T8" i="64"/>
  <c r="S8" i="64"/>
  <c r="R8" i="64"/>
  <c r="Q8" i="64"/>
  <c r="P8" i="64"/>
  <c r="O8" i="64"/>
  <c r="N8" i="64"/>
  <c r="M8" i="64"/>
  <c r="L8" i="64"/>
  <c r="K8" i="64"/>
  <c r="J8" i="64"/>
  <c r="I8" i="64"/>
  <c r="H8" i="64"/>
  <c r="G8" i="64"/>
  <c r="F8" i="64"/>
  <c r="E8" i="64"/>
  <c r="D8" i="64"/>
  <c r="C8" i="64"/>
  <c r="G459" i="51" l="1"/>
  <c r="F459" i="51"/>
  <c r="D459" i="51"/>
  <c r="C459" i="51"/>
  <c r="G444" i="51"/>
  <c r="F444" i="51"/>
  <c r="H444" i="51" s="1"/>
  <c r="D444" i="51"/>
  <c r="C444" i="51"/>
  <c r="E444" i="51" s="1"/>
  <c r="E459" i="51" l="1"/>
  <c r="E447" i="51"/>
  <c r="E448" i="51" s="1"/>
  <c r="E449" i="51" s="1"/>
  <c r="E450" i="51" s="1"/>
  <c r="E451" i="51" s="1"/>
  <c r="E452" i="51" s="1"/>
  <c r="E453" i="51" s="1"/>
  <c r="E454" i="51" s="1"/>
  <c r="E455" i="51" s="1"/>
  <c r="E456" i="51" s="1"/>
  <c r="E457" i="51" s="1"/>
  <c r="E458" i="51" s="1"/>
  <c r="H447" i="51"/>
  <c r="H448" i="51" s="1"/>
  <c r="H449" i="51" s="1"/>
  <c r="H450" i="51" s="1"/>
  <c r="H451" i="51" s="1"/>
  <c r="H452" i="51" s="1"/>
  <c r="H453" i="51" s="1"/>
  <c r="H454" i="51" s="1"/>
  <c r="H455" i="51" s="1"/>
  <c r="H456" i="51" s="1"/>
  <c r="H457" i="51" s="1"/>
  <c r="H458" i="51" s="1"/>
  <c r="H459" i="51"/>
  <c r="AD64" i="47"/>
  <c r="AD62" i="47"/>
  <c r="AC61" i="47"/>
  <c r="AD61" i="47" s="1"/>
  <c r="AD55" i="47"/>
  <c r="AD54" i="47"/>
  <c r="AD52" i="47"/>
  <c r="AD51" i="47"/>
  <c r="AC50" i="47"/>
  <c r="AD50" i="47" s="1"/>
  <c r="AD48" i="47"/>
  <c r="AD47" i="47"/>
  <c r="AD46" i="47"/>
  <c r="AC45" i="47"/>
  <c r="H462" i="51" l="1"/>
  <c r="H463" i="51" s="1"/>
  <c r="H464" i="51" s="1"/>
  <c r="H465" i="51" s="1"/>
  <c r="H466" i="51" s="1"/>
  <c r="H467" i="51" s="1"/>
  <c r="H468" i="51" s="1"/>
  <c r="H469" i="51" s="1"/>
  <c r="H470" i="51" s="1"/>
  <c r="H471" i="51" s="1"/>
  <c r="H472" i="51" s="1"/>
  <c r="H473" i="51" s="1"/>
  <c r="H474" i="51"/>
  <c r="E462" i="51"/>
  <c r="E463" i="51" s="1"/>
  <c r="E464" i="51" s="1"/>
  <c r="E465" i="51" s="1"/>
  <c r="E466" i="51" s="1"/>
  <c r="E467" i="51" s="1"/>
  <c r="E468" i="51" s="1"/>
  <c r="E469" i="51" s="1"/>
  <c r="E470" i="51" s="1"/>
  <c r="E471" i="51" s="1"/>
  <c r="E472" i="51" s="1"/>
  <c r="E473" i="51" s="1"/>
  <c r="E474" i="51"/>
  <c r="AC43" i="47"/>
  <c r="AC65" i="47" s="1"/>
  <c r="AD65" i="47" s="1"/>
  <c r="AD45" i="47"/>
  <c r="AD43" i="47" l="1"/>
  <c r="C34" i="50"/>
  <c r="C23" i="50"/>
  <c r="S20" i="41" l="1"/>
  <c r="S8" i="41"/>
  <c r="S11" i="41" s="1"/>
  <c r="R126" i="39"/>
  <c r="R125" i="39"/>
  <c r="R124" i="39"/>
  <c r="R121" i="39"/>
  <c r="R120" i="39"/>
  <c r="R119" i="39"/>
  <c r="R118" i="39"/>
  <c r="R117" i="39"/>
  <c r="R116" i="39"/>
  <c r="R114" i="39"/>
  <c r="R113" i="39"/>
  <c r="R112" i="39"/>
  <c r="R110" i="39"/>
  <c r="R109" i="39"/>
  <c r="R108" i="39"/>
  <c r="R107" i="39"/>
  <c r="R106" i="39"/>
  <c r="R104" i="39"/>
  <c r="R103" i="39"/>
  <c r="R102" i="39"/>
  <c r="R101" i="39"/>
  <c r="R100" i="39"/>
  <c r="R99" i="39"/>
  <c r="R98" i="39"/>
  <c r="R97" i="39"/>
  <c r="R96" i="39"/>
  <c r="R94" i="39"/>
  <c r="R93" i="39" s="1"/>
  <c r="R92" i="39"/>
  <c r="R91" i="39" s="1"/>
  <c r="R38" i="39"/>
  <c r="R30" i="39"/>
  <c r="R26" i="39"/>
  <c r="R10" i="39"/>
  <c r="R8" i="39"/>
  <c r="R6" i="39"/>
  <c r="R123" i="39" l="1"/>
  <c r="R115" i="39"/>
  <c r="R111" i="39"/>
  <c r="R37" i="39"/>
  <c r="R42" i="39" s="1"/>
  <c r="R84" i="39" s="1"/>
  <c r="R95" i="39"/>
  <c r="J25" i="35"/>
  <c r="R122" i="39" l="1"/>
  <c r="R127" i="39" s="1"/>
  <c r="R68" i="39"/>
  <c r="R64" i="39"/>
  <c r="R70" i="39"/>
  <c r="R83" i="39"/>
  <c r="R52" i="39"/>
  <c r="R51" i="39" s="1"/>
  <c r="R72" i="39"/>
  <c r="R65" i="39"/>
  <c r="R76" i="39"/>
  <c r="R55" i="39"/>
  <c r="R67" i="39"/>
  <c r="R71" i="39"/>
  <c r="R60" i="39"/>
  <c r="R74" i="39"/>
  <c r="R50" i="39"/>
  <c r="R49" i="39" s="1"/>
  <c r="R54" i="39"/>
  <c r="R57" i="39"/>
  <c r="R62" i="39"/>
  <c r="R56" i="39"/>
  <c r="R66" i="39"/>
  <c r="R79" i="39"/>
  <c r="R78" i="39"/>
  <c r="R59" i="39"/>
  <c r="R77" i="39"/>
  <c r="R58" i="39"/>
  <c r="R82" i="39"/>
  <c r="R61" i="39"/>
  <c r="R75" i="39"/>
  <c r="R81" i="39" l="1"/>
  <c r="R73" i="39"/>
  <c r="R69" i="39"/>
  <c r="R53" i="39"/>
  <c r="T9" i="3"/>
  <c r="S20" i="13"/>
  <c r="R80" i="39" l="1"/>
  <c r="R85" i="39" s="1"/>
  <c r="N20" i="19"/>
  <c r="M20" i="19"/>
  <c r="L20" i="19"/>
  <c r="K20" i="19"/>
  <c r="J20" i="19"/>
  <c r="I20" i="19"/>
  <c r="H20" i="19"/>
  <c r="G20" i="19"/>
  <c r="F20" i="19"/>
  <c r="E20" i="19"/>
  <c r="D20" i="19"/>
  <c r="C20" i="19"/>
  <c r="O29" i="19"/>
  <c r="U65" i="56" l="1"/>
  <c r="S65" i="56"/>
  <c r="N14" i="56"/>
  <c r="Q14" i="56"/>
  <c r="P14" i="56"/>
  <c r="O14" i="56"/>
  <c r="R14" i="56"/>
  <c r="S14" i="56"/>
  <c r="S8" i="56" s="1"/>
  <c r="U14" i="56"/>
  <c r="S82" i="56"/>
  <c r="S81" i="56"/>
  <c r="S80" i="56"/>
  <c r="S76" i="56"/>
  <c r="S74" i="56"/>
  <c r="S72" i="56"/>
  <c r="S71" i="56"/>
  <c r="S70" i="56"/>
  <c r="S69" i="56"/>
  <c r="S68" i="56"/>
  <c r="S67" i="56"/>
  <c r="S64" i="56"/>
  <c r="S62" i="56"/>
  <c r="S61" i="56"/>
  <c r="S60" i="56"/>
  <c r="S59" i="56"/>
  <c r="S57" i="56"/>
  <c r="S56" i="56"/>
  <c r="S55" i="56"/>
  <c r="S54" i="56"/>
  <c r="S53" i="56"/>
  <c r="S36" i="56"/>
  <c r="S29" i="56"/>
  <c r="S73" i="56" s="1"/>
  <c r="S22" i="56"/>
  <c r="S66" i="56" s="1"/>
  <c r="S7" i="56" l="1"/>
  <c r="S34" i="56" s="1"/>
  <c r="S78" i="56" s="1"/>
  <c r="S58" i="56"/>
  <c r="S52" i="56"/>
  <c r="P122" i="33"/>
  <c r="P121" i="33"/>
  <c r="P119" i="33"/>
  <c r="P118" i="33"/>
  <c r="P117" i="33"/>
  <c r="P116" i="33"/>
  <c r="P114" i="33"/>
  <c r="P113" i="33"/>
  <c r="P111" i="33"/>
  <c r="P110" i="33"/>
  <c r="P109" i="33"/>
  <c r="P108" i="33"/>
  <c r="P106" i="33"/>
  <c r="P105" i="33"/>
  <c r="P104" i="33"/>
  <c r="P103" i="33"/>
  <c r="P102" i="33"/>
  <c r="P101" i="33"/>
  <c r="P99" i="33"/>
  <c r="P98" i="33"/>
  <c r="P97" i="33"/>
  <c r="P96" i="33"/>
  <c r="P94" i="33"/>
  <c r="P93" i="33"/>
  <c r="P30" i="33"/>
  <c r="P27" i="33"/>
  <c r="P22" i="33"/>
  <c r="U23" i="33" s="1"/>
  <c r="P15" i="33"/>
  <c r="P10" i="33"/>
  <c r="P7" i="33"/>
  <c r="O36" i="62"/>
  <c r="O35" i="62"/>
  <c r="N34" i="62"/>
  <c r="M34" i="62"/>
  <c r="L34" i="62"/>
  <c r="K34" i="62"/>
  <c r="J34" i="62"/>
  <c r="I34" i="62"/>
  <c r="H34" i="62"/>
  <c r="G34" i="62"/>
  <c r="F34" i="62"/>
  <c r="E34" i="62"/>
  <c r="D34" i="62"/>
  <c r="C34" i="62"/>
  <c r="O31" i="62"/>
  <c r="O30" i="62"/>
  <c r="N29" i="62"/>
  <c r="M29" i="62"/>
  <c r="L29" i="62"/>
  <c r="K29" i="62"/>
  <c r="J29" i="62"/>
  <c r="I29" i="62"/>
  <c r="H29" i="62"/>
  <c r="G29" i="62"/>
  <c r="F29" i="62"/>
  <c r="E29" i="62"/>
  <c r="D29" i="62"/>
  <c r="C29" i="62"/>
  <c r="O28" i="62"/>
  <c r="O27" i="62"/>
  <c r="O26" i="62"/>
  <c r="O25" i="62"/>
  <c r="O24" i="62"/>
  <c r="O23" i="62"/>
  <c r="N22" i="62"/>
  <c r="M22" i="62"/>
  <c r="L22" i="62"/>
  <c r="K22" i="62"/>
  <c r="J22" i="62"/>
  <c r="I22" i="62"/>
  <c r="H22" i="62"/>
  <c r="G22" i="62"/>
  <c r="F22" i="62"/>
  <c r="E22" i="62"/>
  <c r="D22" i="62"/>
  <c r="C22" i="62"/>
  <c r="O21" i="62"/>
  <c r="O20" i="62"/>
  <c r="O19" i="62"/>
  <c r="O18" i="62"/>
  <c r="O17" i="62"/>
  <c r="O16" i="62"/>
  <c r="O15" i="62"/>
  <c r="N14" i="62"/>
  <c r="N8" i="62" s="1"/>
  <c r="M14" i="62"/>
  <c r="M8" i="62" s="1"/>
  <c r="M7" i="62" s="1"/>
  <c r="M32" i="62" s="1"/>
  <c r="L14" i="62"/>
  <c r="L8" i="62" s="1"/>
  <c r="K14" i="62"/>
  <c r="K8" i="62" s="1"/>
  <c r="J14" i="62"/>
  <c r="J8" i="62" s="1"/>
  <c r="I14" i="62"/>
  <c r="I8" i="62" s="1"/>
  <c r="I7" i="62" s="1"/>
  <c r="I32" i="62" s="1"/>
  <c r="H14" i="62"/>
  <c r="G14" i="62"/>
  <c r="G8" i="62" s="1"/>
  <c r="F14" i="62"/>
  <c r="F8" i="62" s="1"/>
  <c r="E14" i="62"/>
  <c r="E8" i="62" s="1"/>
  <c r="D14" i="62"/>
  <c r="C14" i="62"/>
  <c r="AD13" i="62"/>
  <c r="AC13" i="62"/>
  <c r="AB13" i="62"/>
  <c r="AA13" i="62"/>
  <c r="Z13" i="62"/>
  <c r="Y13" i="62"/>
  <c r="X13" i="62"/>
  <c r="W13" i="62"/>
  <c r="V13" i="62"/>
  <c r="U13" i="62"/>
  <c r="T13" i="62"/>
  <c r="S13" i="62"/>
  <c r="O13" i="62"/>
  <c r="O12" i="62"/>
  <c r="AE11" i="62"/>
  <c r="O11" i="62"/>
  <c r="AE10" i="62"/>
  <c r="O10" i="62"/>
  <c r="O9" i="62"/>
  <c r="H8" i="62"/>
  <c r="H7" i="62" s="1"/>
  <c r="D8" i="62"/>
  <c r="O75" i="61"/>
  <c r="O74" i="61"/>
  <c r="O71" i="61"/>
  <c r="O70" i="61"/>
  <c r="O69" i="61"/>
  <c r="O68" i="61"/>
  <c r="O67" i="61"/>
  <c r="N66" i="61"/>
  <c r="M66" i="61"/>
  <c r="L66" i="61"/>
  <c r="K66" i="61"/>
  <c r="J66" i="61"/>
  <c r="I66" i="61"/>
  <c r="H66" i="61"/>
  <c r="G66" i="61"/>
  <c r="F66" i="61"/>
  <c r="E66" i="61"/>
  <c r="D66" i="61"/>
  <c r="C66" i="61"/>
  <c r="O65" i="61"/>
  <c r="O64" i="61"/>
  <c r="O63" i="61"/>
  <c r="N62" i="61"/>
  <c r="M62" i="61"/>
  <c r="L62" i="61"/>
  <c r="K62" i="61"/>
  <c r="J62" i="61"/>
  <c r="I62" i="61"/>
  <c r="H62" i="61"/>
  <c r="G62" i="61"/>
  <c r="F62" i="61"/>
  <c r="E62" i="61"/>
  <c r="D62" i="61"/>
  <c r="C62" i="61"/>
  <c r="O61" i="61"/>
  <c r="O60" i="61"/>
  <c r="N59" i="61"/>
  <c r="M59" i="61"/>
  <c r="L59" i="61"/>
  <c r="K59" i="61"/>
  <c r="J59" i="61"/>
  <c r="I59" i="61"/>
  <c r="H59" i="61"/>
  <c r="G59" i="61"/>
  <c r="F59" i="61"/>
  <c r="E59" i="61"/>
  <c r="D59" i="61"/>
  <c r="C59" i="61"/>
  <c r="O58" i="61"/>
  <c r="O57" i="61"/>
  <c r="N56" i="61"/>
  <c r="M56" i="61"/>
  <c r="L56" i="61"/>
  <c r="K56" i="61"/>
  <c r="J56" i="61"/>
  <c r="I56" i="61"/>
  <c r="H56" i="61"/>
  <c r="G56" i="61"/>
  <c r="F56" i="61"/>
  <c r="E56" i="61"/>
  <c r="D56" i="61"/>
  <c r="C56" i="61"/>
  <c r="O54" i="61"/>
  <c r="O53" i="61"/>
  <c r="N52" i="61"/>
  <c r="M52" i="61"/>
  <c r="L52" i="61"/>
  <c r="K52" i="61"/>
  <c r="J52" i="61"/>
  <c r="I52" i="61"/>
  <c r="H52" i="61"/>
  <c r="G52" i="61"/>
  <c r="F52" i="61"/>
  <c r="E52" i="61"/>
  <c r="D52" i="61"/>
  <c r="C52" i="61"/>
  <c r="O46" i="61"/>
  <c r="O45" i="61"/>
  <c r="O44" i="61"/>
  <c r="O43" i="61"/>
  <c r="O42" i="61"/>
  <c r="N41" i="61"/>
  <c r="M41" i="61"/>
  <c r="L41" i="61"/>
  <c r="K41" i="61"/>
  <c r="J41" i="61"/>
  <c r="I41" i="61"/>
  <c r="H41" i="61"/>
  <c r="G41" i="61"/>
  <c r="F41" i="61"/>
  <c r="E41" i="61"/>
  <c r="D41" i="61"/>
  <c r="C41" i="61"/>
  <c r="O40" i="61"/>
  <c r="O39" i="61"/>
  <c r="O38" i="61"/>
  <c r="O37" i="61"/>
  <c r="O36" i="61"/>
  <c r="O35" i="61"/>
  <c r="O34" i="61"/>
  <c r="O33" i="61"/>
  <c r="N32" i="61"/>
  <c r="M32" i="61"/>
  <c r="M30" i="61" s="1"/>
  <c r="L32" i="61"/>
  <c r="L30" i="61" s="1"/>
  <c r="K32" i="61"/>
  <c r="K30" i="61" s="1"/>
  <c r="J32" i="61"/>
  <c r="J30" i="61" s="1"/>
  <c r="I32" i="61"/>
  <c r="I30" i="61" s="1"/>
  <c r="H32" i="61"/>
  <c r="H30" i="61" s="1"/>
  <c r="G32" i="61"/>
  <c r="G30" i="61" s="1"/>
  <c r="F32" i="61"/>
  <c r="F30" i="61" s="1"/>
  <c r="E32" i="61"/>
  <c r="E30" i="61" s="1"/>
  <c r="D32" i="61"/>
  <c r="D30" i="61" s="1"/>
  <c r="C32" i="61"/>
  <c r="O31" i="61"/>
  <c r="N30" i="61"/>
  <c r="O29" i="61"/>
  <c r="O27" i="61"/>
  <c r="O26" i="61"/>
  <c r="O25" i="61"/>
  <c r="O24" i="61"/>
  <c r="O23" i="61"/>
  <c r="O22" i="61"/>
  <c r="O21" i="61"/>
  <c r="N20" i="61"/>
  <c r="N16" i="61" s="1"/>
  <c r="M20" i="61"/>
  <c r="M16" i="61" s="1"/>
  <c r="L20" i="61"/>
  <c r="L16" i="61" s="1"/>
  <c r="K20" i="61"/>
  <c r="K16" i="61" s="1"/>
  <c r="J20" i="61"/>
  <c r="I20" i="61"/>
  <c r="I16" i="61" s="1"/>
  <c r="H20" i="61"/>
  <c r="H16" i="61" s="1"/>
  <c r="G20" i="61"/>
  <c r="G16" i="61" s="1"/>
  <c r="F20" i="61"/>
  <c r="E20" i="61"/>
  <c r="E16" i="61" s="1"/>
  <c r="D20" i="61"/>
  <c r="D16" i="61" s="1"/>
  <c r="C20" i="61"/>
  <c r="O19" i="61"/>
  <c r="O18" i="61"/>
  <c r="O17" i="61"/>
  <c r="J16" i="61"/>
  <c r="F16" i="61"/>
  <c r="O14" i="61"/>
  <c r="O13" i="61"/>
  <c r="O12" i="61"/>
  <c r="O11" i="61"/>
  <c r="O10" i="61"/>
  <c r="N9" i="61"/>
  <c r="N8" i="61" s="1"/>
  <c r="M9" i="61"/>
  <c r="L9" i="61"/>
  <c r="K9" i="61"/>
  <c r="K8" i="61" s="1"/>
  <c r="J9" i="61"/>
  <c r="J8" i="61" s="1"/>
  <c r="I9" i="61"/>
  <c r="H9" i="61"/>
  <c r="H8" i="61" s="1"/>
  <c r="G9" i="61"/>
  <c r="G8" i="61" s="1"/>
  <c r="F9" i="61"/>
  <c r="F8" i="61" s="1"/>
  <c r="E9" i="61"/>
  <c r="D9" i="61"/>
  <c r="D8" i="61" s="1"/>
  <c r="C9" i="61"/>
  <c r="C8" i="61" s="1"/>
  <c r="E55" i="61" l="1"/>
  <c r="AE13" i="62"/>
  <c r="M55" i="61"/>
  <c r="O66" i="61"/>
  <c r="O62" i="61"/>
  <c r="F55" i="61"/>
  <c r="N55" i="61"/>
  <c r="J55" i="61"/>
  <c r="G55" i="61"/>
  <c r="O20" i="61"/>
  <c r="H32" i="62"/>
  <c r="K7" i="62"/>
  <c r="K32" i="62" s="1"/>
  <c r="P112" i="33"/>
  <c r="P107" i="33" s="1"/>
  <c r="P92" i="33"/>
  <c r="O41" i="61"/>
  <c r="O32" i="61"/>
  <c r="K55" i="61"/>
  <c r="I55" i="61"/>
  <c r="D55" i="61"/>
  <c r="H55" i="61"/>
  <c r="L55" i="61"/>
  <c r="O59" i="61"/>
  <c r="O56" i="61"/>
  <c r="C55" i="61"/>
  <c r="O52" i="61"/>
  <c r="F15" i="61"/>
  <c r="F49" i="61" s="1"/>
  <c r="N15" i="61"/>
  <c r="N49" i="61" s="1"/>
  <c r="C30" i="61"/>
  <c r="O30" i="61" s="1"/>
  <c r="J15" i="61"/>
  <c r="J49" i="61" s="1"/>
  <c r="J51" i="61" s="1"/>
  <c r="N47" i="61"/>
  <c r="C16" i="61"/>
  <c r="C47" i="61" s="1"/>
  <c r="I47" i="61"/>
  <c r="G15" i="61"/>
  <c r="G49" i="61" s="1"/>
  <c r="E47" i="61"/>
  <c r="M47" i="61"/>
  <c r="K15" i="61"/>
  <c r="K49" i="61" s="1"/>
  <c r="F47" i="61"/>
  <c r="D47" i="61"/>
  <c r="H47" i="61"/>
  <c r="L47" i="61"/>
  <c r="E15" i="61"/>
  <c r="I15" i="61"/>
  <c r="M15" i="61"/>
  <c r="J47" i="61"/>
  <c r="L8" i="61"/>
  <c r="S51" i="56"/>
  <c r="D7" i="62"/>
  <c r="D32" i="62" s="1"/>
  <c r="G7" i="62"/>
  <c r="G32" i="62" s="1"/>
  <c r="E7" i="62"/>
  <c r="E32" i="62" s="1"/>
  <c r="P95" i="33"/>
  <c r="P115" i="33"/>
  <c r="P38" i="33"/>
  <c r="P79" i="33" s="1"/>
  <c r="P100" i="33"/>
  <c r="O34" i="62"/>
  <c r="O29" i="62"/>
  <c r="J7" i="62"/>
  <c r="J32" i="62" s="1"/>
  <c r="O22" i="62"/>
  <c r="N7" i="62"/>
  <c r="N32" i="62" s="1"/>
  <c r="F7" i="62"/>
  <c r="F32" i="62" s="1"/>
  <c r="L7" i="62"/>
  <c r="L32" i="62" s="1"/>
  <c r="O14" i="62"/>
  <c r="C8" i="62"/>
  <c r="D15" i="61"/>
  <c r="D49" i="61" s="1"/>
  <c r="H15" i="61"/>
  <c r="H49" i="61" s="1"/>
  <c r="L15" i="61"/>
  <c r="E8" i="61"/>
  <c r="O8" i="61" s="1"/>
  <c r="I8" i="61"/>
  <c r="M8" i="61"/>
  <c r="G47" i="61"/>
  <c r="K47" i="61"/>
  <c r="O9" i="61"/>
  <c r="T51" i="3"/>
  <c r="T38" i="3"/>
  <c r="T35" i="3"/>
  <c r="T23" i="3"/>
  <c r="T18" i="3"/>
  <c r="T17" i="3" s="1"/>
  <c r="T8" i="3"/>
  <c r="U67" i="13"/>
  <c r="U63" i="13"/>
  <c r="U60" i="13"/>
  <c r="U57" i="13"/>
  <c r="U53" i="13"/>
  <c r="U41" i="13"/>
  <c r="U32" i="13"/>
  <c r="U30" i="13" s="1"/>
  <c r="U16" i="13"/>
  <c r="U9" i="13"/>
  <c r="U8" i="13" s="1"/>
  <c r="N98" i="60"/>
  <c r="M98" i="60"/>
  <c r="L98" i="60"/>
  <c r="K98" i="60"/>
  <c r="J98" i="60"/>
  <c r="I98" i="60"/>
  <c r="H98" i="60"/>
  <c r="G98" i="60"/>
  <c r="F98" i="60"/>
  <c r="E98" i="60"/>
  <c r="D98" i="60"/>
  <c r="C98" i="60"/>
  <c r="N92" i="60"/>
  <c r="M92" i="60"/>
  <c r="L92" i="60"/>
  <c r="K92" i="60"/>
  <c r="J92" i="60"/>
  <c r="I92" i="60"/>
  <c r="H92" i="60"/>
  <c r="G92" i="60"/>
  <c r="F92" i="60"/>
  <c r="E92" i="60"/>
  <c r="D92" i="60"/>
  <c r="C92" i="60"/>
  <c r="N91" i="60"/>
  <c r="M91" i="60"/>
  <c r="L91" i="60"/>
  <c r="K91" i="60"/>
  <c r="J91" i="60"/>
  <c r="I91" i="60"/>
  <c r="H91" i="60"/>
  <c r="G91" i="60"/>
  <c r="F91" i="60"/>
  <c r="E91" i="60"/>
  <c r="D91" i="60"/>
  <c r="C91" i="60"/>
  <c r="N90" i="60"/>
  <c r="M90" i="60"/>
  <c r="L90" i="60"/>
  <c r="K90" i="60"/>
  <c r="J90" i="60"/>
  <c r="I90" i="60"/>
  <c r="H90" i="60"/>
  <c r="G90" i="60"/>
  <c r="F90" i="60"/>
  <c r="E90" i="60"/>
  <c r="D90" i="60"/>
  <c r="C90" i="60"/>
  <c r="N89" i="60"/>
  <c r="M89" i="60"/>
  <c r="L89" i="60"/>
  <c r="K89" i="60"/>
  <c r="J89" i="60"/>
  <c r="I89" i="60"/>
  <c r="H89" i="60"/>
  <c r="G89" i="60"/>
  <c r="F89" i="60"/>
  <c r="E89" i="60"/>
  <c r="D89" i="60"/>
  <c r="C89" i="60"/>
  <c r="N88" i="60"/>
  <c r="M88" i="60"/>
  <c r="L88" i="60"/>
  <c r="K88" i="60"/>
  <c r="J88" i="60"/>
  <c r="I88" i="60"/>
  <c r="H88" i="60"/>
  <c r="G88" i="60"/>
  <c r="F88" i="60"/>
  <c r="E88" i="60"/>
  <c r="D88" i="60"/>
  <c r="C88" i="60"/>
  <c r="N87" i="60"/>
  <c r="M87" i="60"/>
  <c r="L87" i="60"/>
  <c r="K87" i="60"/>
  <c r="J87" i="60"/>
  <c r="I87" i="60"/>
  <c r="H87" i="60"/>
  <c r="G87" i="60"/>
  <c r="F87" i="60"/>
  <c r="E87" i="60"/>
  <c r="D87" i="60"/>
  <c r="C87" i="60"/>
  <c r="N86" i="60"/>
  <c r="M86" i="60"/>
  <c r="L86" i="60"/>
  <c r="K86" i="60"/>
  <c r="J86" i="60"/>
  <c r="I86" i="60"/>
  <c r="H86" i="60"/>
  <c r="G86" i="60"/>
  <c r="F86" i="60"/>
  <c r="E86" i="60"/>
  <c r="D86" i="60"/>
  <c r="C86" i="60"/>
  <c r="N84" i="60"/>
  <c r="M84" i="60"/>
  <c r="L84" i="60"/>
  <c r="K84" i="60"/>
  <c r="J84" i="60"/>
  <c r="I84" i="60"/>
  <c r="H84" i="60"/>
  <c r="G84" i="60"/>
  <c r="F84" i="60"/>
  <c r="E84" i="60"/>
  <c r="D84" i="60"/>
  <c r="C84" i="60"/>
  <c r="N83" i="60"/>
  <c r="M83" i="60"/>
  <c r="L83" i="60"/>
  <c r="K83" i="60"/>
  <c r="J83" i="60"/>
  <c r="I83" i="60"/>
  <c r="H83" i="60"/>
  <c r="G83" i="60"/>
  <c r="F83" i="60"/>
  <c r="E83" i="60"/>
  <c r="D83" i="60"/>
  <c r="C83" i="60"/>
  <c r="N73" i="60"/>
  <c r="M73" i="60"/>
  <c r="L73" i="60"/>
  <c r="K73" i="60"/>
  <c r="J73" i="60"/>
  <c r="I73" i="60"/>
  <c r="H73" i="60"/>
  <c r="G73" i="60"/>
  <c r="F73" i="60"/>
  <c r="E73" i="60"/>
  <c r="D73" i="60"/>
  <c r="C73" i="60"/>
  <c r="N72" i="60"/>
  <c r="M72" i="60"/>
  <c r="L72" i="60"/>
  <c r="K72" i="60"/>
  <c r="J72" i="60"/>
  <c r="I72" i="60"/>
  <c r="H72" i="60"/>
  <c r="G72" i="60"/>
  <c r="F72" i="60"/>
  <c r="E72" i="60"/>
  <c r="D72" i="60"/>
  <c r="C72" i="60"/>
  <c r="N71" i="60"/>
  <c r="M71" i="60"/>
  <c r="L71" i="60"/>
  <c r="K71" i="60"/>
  <c r="J71" i="60"/>
  <c r="I71" i="60"/>
  <c r="H71" i="60"/>
  <c r="G71" i="60"/>
  <c r="F71" i="60"/>
  <c r="E71" i="60"/>
  <c r="D71" i="60"/>
  <c r="C71" i="60"/>
  <c r="N69" i="60"/>
  <c r="M69" i="60"/>
  <c r="L69" i="60"/>
  <c r="K69" i="60"/>
  <c r="J69" i="60"/>
  <c r="I69" i="60"/>
  <c r="H69" i="60"/>
  <c r="G69" i="60"/>
  <c r="F69" i="60"/>
  <c r="E69" i="60"/>
  <c r="D69" i="60"/>
  <c r="C69" i="60"/>
  <c r="N68" i="60"/>
  <c r="M68" i="60"/>
  <c r="L68" i="60"/>
  <c r="K68" i="60"/>
  <c r="J68" i="60"/>
  <c r="I68" i="60"/>
  <c r="H68" i="60"/>
  <c r="G68" i="60"/>
  <c r="F68" i="60"/>
  <c r="E68" i="60"/>
  <c r="D68" i="60"/>
  <c r="C68" i="60"/>
  <c r="N67" i="60"/>
  <c r="M67" i="60"/>
  <c r="L67" i="60"/>
  <c r="K67" i="60"/>
  <c r="J67" i="60"/>
  <c r="I67" i="60"/>
  <c r="H67" i="60"/>
  <c r="G67" i="60"/>
  <c r="F67" i="60"/>
  <c r="E67" i="60"/>
  <c r="D67" i="60"/>
  <c r="C67" i="60"/>
  <c r="N66" i="60"/>
  <c r="M66" i="60"/>
  <c r="L66" i="60"/>
  <c r="K66" i="60"/>
  <c r="J66" i="60"/>
  <c r="I66" i="60"/>
  <c r="H66" i="60"/>
  <c r="G66" i="60"/>
  <c r="F66" i="60"/>
  <c r="E66" i="60"/>
  <c r="D66" i="60"/>
  <c r="C66" i="60"/>
  <c r="N62" i="60"/>
  <c r="M62" i="60"/>
  <c r="L62" i="60"/>
  <c r="K62" i="60"/>
  <c r="J62" i="60"/>
  <c r="I62" i="60"/>
  <c r="H62" i="60"/>
  <c r="G62" i="60"/>
  <c r="F62" i="60"/>
  <c r="E62" i="60"/>
  <c r="D62" i="60"/>
  <c r="C62" i="60"/>
  <c r="N61" i="60"/>
  <c r="M61" i="60"/>
  <c r="L61" i="60"/>
  <c r="K61" i="60"/>
  <c r="J61" i="60"/>
  <c r="I61" i="60"/>
  <c r="H61" i="60"/>
  <c r="G61" i="60"/>
  <c r="F61" i="60"/>
  <c r="E61" i="60"/>
  <c r="D61" i="60"/>
  <c r="C61" i="60"/>
  <c r="N60" i="60"/>
  <c r="M60" i="60"/>
  <c r="L60" i="60"/>
  <c r="K60" i="60"/>
  <c r="J60" i="60"/>
  <c r="I60" i="60"/>
  <c r="H60" i="60"/>
  <c r="G60" i="60"/>
  <c r="F60" i="60"/>
  <c r="E60" i="60"/>
  <c r="D60" i="60"/>
  <c r="C60" i="60"/>
  <c r="N59" i="60"/>
  <c r="M59" i="60"/>
  <c r="L59" i="60"/>
  <c r="K59" i="60"/>
  <c r="J59" i="60"/>
  <c r="I59" i="60"/>
  <c r="H59" i="60"/>
  <c r="G59" i="60"/>
  <c r="F59" i="60"/>
  <c r="E59" i="60"/>
  <c r="D59" i="60"/>
  <c r="C59" i="60"/>
  <c r="N58" i="60"/>
  <c r="M58" i="60"/>
  <c r="L58" i="60"/>
  <c r="K58" i="60"/>
  <c r="J58" i="60"/>
  <c r="I58" i="60"/>
  <c r="H58" i="60"/>
  <c r="G58" i="60"/>
  <c r="F58" i="60"/>
  <c r="E58" i="60"/>
  <c r="D58" i="60"/>
  <c r="C58" i="60"/>
  <c r="I57" i="60"/>
  <c r="O49" i="60"/>
  <c r="O98" i="60" s="1"/>
  <c r="O43" i="60"/>
  <c r="O92" i="60" s="1"/>
  <c r="O42" i="60"/>
  <c r="O91" i="60" s="1"/>
  <c r="O41" i="60"/>
  <c r="O90" i="60" s="1"/>
  <c r="O40" i="60"/>
  <c r="O89" i="60" s="1"/>
  <c r="O39" i="60"/>
  <c r="O88" i="60" s="1"/>
  <c r="O38" i="60"/>
  <c r="O87" i="60" s="1"/>
  <c r="O37" i="60"/>
  <c r="O86" i="60" s="1"/>
  <c r="N36" i="60"/>
  <c r="N85" i="60" s="1"/>
  <c r="M36" i="60"/>
  <c r="M85" i="60" s="1"/>
  <c r="L36" i="60"/>
  <c r="L85" i="60" s="1"/>
  <c r="K36" i="60"/>
  <c r="K85" i="60" s="1"/>
  <c r="J36" i="60"/>
  <c r="J85" i="60" s="1"/>
  <c r="I36" i="60"/>
  <c r="I85" i="60" s="1"/>
  <c r="H36" i="60"/>
  <c r="H85" i="60" s="1"/>
  <c r="G36" i="60"/>
  <c r="G85" i="60" s="1"/>
  <c r="F36" i="60"/>
  <c r="F85" i="60" s="1"/>
  <c r="E36" i="60"/>
  <c r="E85" i="60" s="1"/>
  <c r="D36" i="60"/>
  <c r="D85" i="60" s="1"/>
  <c r="C36" i="60"/>
  <c r="C85" i="60" s="1"/>
  <c r="O35" i="60"/>
  <c r="O84" i="60" s="1"/>
  <c r="O34" i="60"/>
  <c r="O83" i="60" s="1"/>
  <c r="N33" i="60"/>
  <c r="N82" i="60" s="1"/>
  <c r="M33" i="60"/>
  <c r="M82" i="60" s="1"/>
  <c r="L33" i="60"/>
  <c r="L82" i="60" s="1"/>
  <c r="K33" i="60"/>
  <c r="K82" i="60" s="1"/>
  <c r="J33" i="60"/>
  <c r="J82" i="60" s="1"/>
  <c r="I33" i="60"/>
  <c r="I82" i="60" s="1"/>
  <c r="H33" i="60"/>
  <c r="H82" i="60" s="1"/>
  <c r="G33" i="60"/>
  <c r="G82" i="60" s="1"/>
  <c r="F33" i="60"/>
  <c r="F82" i="60" s="1"/>
  <c r="E33" i="60"/>
  <c r="E82" i="60" s="1"/>
  <c r="D33" i="60"/>
  <c r="D82" i="60" s="1"/>
  <c r="C33" i="60"/>
  <c r="C82" i="60" s="1"/>
  <c r="O24" i="60"/>
  <c r="O73" i="60" s="1"/>
  <c r="O23" i="60"/>
  <c r="O72" i="60" s="1"/>
  <c r="O22" i="60"/>
  <c r="O71" i="60" s="1"/>
  <c r="N21" i="60"/>
  <c r="N70" i="60" s="1"/>
  <c r="M21" i="60"/>
  <c r="L21" i="60"/>
  <c r="L70" i="60" s="1"/>
  <c r="K21" i="60"/>
  <c r="K70" i="60" s="1"/>
  <c r="J21" i="60"/>
  <c r="J70" i="60" s="1"/>
  <c r="I21" i="60"/>
  <c r="H21" i="60"/>
  <c r="H70" i="60" s="1"/>
  <c r="G21" i="60"/>
  <c r="G70" i="60" s="1"/>
  <c r="F21" i="60"/>
  <c r="F70" i="60" s="1"/>
  <c r="E21" i="60"/>
  <c r="D21" i="60"/>
  <c r="D70" i="60" s="1"/>
  <c r="C21" i="60"/>
  <c r="C70" i="60" s="1"/>
  <c r="O20" i="60"/>
  <c r="O69" i="60" s="1"/>
  <c r="O19" i="60"/>
  <c r="O68" i="60" s="1"/>
  <c r="O18" i="60"/>
  <c r="O67" i="60" s="1"/>
  <c r="O17" i="60"/>
  <c r="O66" i="60" s="1"/>
  <c r="N16" i="60"/>
  <c r="M16" i="60"/>
  <c r="M65" i="60" s="1"/>
  <c r="L16" i="60"/>
  <c r="L65" i="60" s="1"/>
  <c r="K16" i="60"/>
  <c r="K65" i="60" s="1"/>
  <c r="J16" i="60"/>
  <c r="I16" i="60"/>
  <c r="I65" i="60" s="1"/>
  <c r="H16" i="60"/>
  <c r="H65" i="60" s="1"/>
  <c r="G16" i="60"/>
  <c r="G65" i="60" s="1"/>
  <c r="F16" i="60"/>
  <c r="E16" i="60"/>
  <c r="E15" i="60" s="1"/>
  <c r="E64" i="60" s="1"/>
  <c r="D16" i="60"/>
  <c r="D65" i="60" s="1"/>
  <c r="C16" i="60"/>
  <c r="C65" i="60" s="1"/>
  <c r="M15" i="60"/>
  <c r="M64" i="60" s="1"/>
  <c r="L15" i="60"/>
  <c r="L64" i="60" s="1"/>
  <c r="I15" i="60"/>
  <c r="I64" i="60" s="1"/>
  <c r="H15" i="60"/>
  <c r="H64" i="60" s="1"/>
  <c r="O13" i="60"/>
  <c r="O62" i="60" s="1"/>
  <c r="O12" i="60"/>
  <c r="O61" i="60" s="1"/>
  <c r="O11" i="60"/>
  <c r="O60" i="60" s="1"/>
  <c r="O10" i="60"/>
  <c r="O59" i="60" s="1"/>
  <c r="O9" i="60"/>
  <c r="O58" i="60" s="1"/>
  <c r="M7" i="60"/>
  <c r="M56" i="60" s="1"/>
  <c r="L57" i="60"/>
  <c r="K57" i="60"/>
  <c r="H57" i="60"/>
  <c r="G57" i="60"/>
  <c r="D57" i="60"/>
  <c r="C57" i="60"/>
  <c r="I7" i="60"/>
  <c r="I56" i="60" s="1"/>
  <c r="G7" i="60"/>
  <c r="G56" i="60" s="1"/>
  <c r="L14" i="60" l="1"/>
  <c r="L63" i="60" s="1"/>
  <c r="M25" i="60"/>
  <c r="M74" i="60" s="1"/>
  <c r="I49" i="61"/>
  <c r="I51" i="61" s="1"/>
  <c r="U56" i="13"/>
  <c r="P91" i="33"/>
  <c r="O16" i="61"/>
  <c r="O55" i="61"/>
  <c r="N72" i="61"/>
  <c r="N51" i="61"/>
  <c r="N50" i="61"/>
  <c r="F51" i="61"/>
  <c r="F50" i="61"/>
  <c r="F72" i="61"/>
  <c r="M49" i="61"/>
  <c r="M50" i="61" s="1"/>
  <c r="E49" i="61"/>
  <c r="E51" i="61" s="1"/>
  <c r="G51" i="61"/>
  <c r="G72" i="61"/>
  <c r="G50" i="61"/>
  <c r="C15" i="61"/>
  <c r="O15" i="61" s="1"/>
  <c r="J72" i="61"/>
  <c r="J50" i="61"/>
  <c r="L49" i="61"/>
  <c r="L51" i="61" s="1"/>
  <c r="K50" i="61"/>
  <c r="K51" i="61"/>
  <c r="K72" i="61"/>
  <c r="P53" i="33"/>
  <c r="P56" i="33"/>
  <c r="P59" i="33"/>
  <c r="P73" i="33"/>
  <c r="P51" i="33"/>
  <c r="P55" i="33"/>
  <c r="P66" i="33"/>
  <c r="P50" i="33"/>
  <c r="P71" i="33"/>
  <c r="P65" i="33"/>
  <c r="P61" i="33"/>
  <c r="P67" i="33"/>
  <c r="P74" i="33"/>
  <c r="P75" i="33"/>
  <c r="P68" i="33"/>
  <c r="P58" i="33"/>
  <c r="P62" i="33"/>
  <c r="P60" i="33"/>
  <c r="P70" i="33"/>
  <c r="P78" i="33"/>
  <c r="P76" i="33"/>
  <c r="P63" i="33"/>
  <c r="P54" i="33"/>
  <c r="C7" i="62"/>
  <c r="O8" i="62"/>
  <c r="D50" i="61"/>
  <c r="D72" i="61"/>
  <c r="D51" i="61"/>
  <c r="O47" i="61"/>
  <c r="H72" i="61"/>
  <c r="H51" i="61"/>
  <c r="H50" i="61"/>
  <c r="I72" i="61"/>
  <c r="C49" i="61"/>
  <c r="D15" i="60"/>
  <c r="E65" i="60"/>
  <c r="E25" i="60"/>
  <c r="E74" i="60" s="1"/>
  <c r="H14" i="60"/>
  <c r="H63" i="60" s="1"/>
  <c r="K15" i="60"/>
  <c r="G15" i="60"/>
  <c r="G64" i="60" s="1"/>
  <c r="C15" i="60"/>
  <c r="C64" i="60" s="1"/>
  <c r="I25" i="60"/>
  <c r="I74" i="60" s="1"/>
  <c r="E57" i="60"/>
  <c r="E7" i="60"/>
  <c r="E56" i="60" s="1"/>
  <c r="K7" i="60"/>
  <c r="K56" i="60" s="1"/>
  <c r="M57" i="60"/>
  <c r="L7" i="60"/>
  <c r="L56" i="60" s="1"/>
  <c r="C7" i="60"/>
  <c r="C56" i="60" s="1"/>
  <c r="H7" i="60"/>
  <c r="H56" i="60" s="1"/>
  <c r="D7" i="60"/>
  <c r="D56" i="60" s="1"/>
  <c r="T27" i="3"/>
  <c r="T95" i="3" s="1"/>
  <c r="T16" i="3"/>
  <c r="T84" i="3" s="1"/>
  <c r="U15" i="13"/>
  <c r="U50" i="13" s="1"/>
  <c r="U47" i="13"/>
  <c r="F7" i="60"/>
  <c r="F57" i="60"/>
  <c r="J7" i="60"/>
  <c r="J57" i="60"/>
  <c r="N7" i="60"/>
  <c r="N57" i="60"/>
  <c r="C14" i="60"/>
  <c r="E70" i="60"/>
  <c r="E14" i="60"/>
  <c r="E63" i="60" s="1"/>
  <c r="I70" i="60"/>
  <c r="I14" i="60"/>
  <c r="I63" i="60" s="1"/>
  <c r="M70" i="60"/>
  <c r="M14" i="60"/>
  <c r="M63" i="60" s="1"/>
  <c r="F15" i="60"/>
  <c r="F25" i="60" s="1"/>
  <c r="F74" i="60" s="1"/>
  <c r="F65" i="60"/>
  <c r="J15" i="60"/>
  <c r="J25" i="60" s="1"/>
  <c r="J74" i="60" s="1"/>
  <c r="J65" i="60"/>
  <c r="N15" i="60"/>
  <c r="N25" i="60" s="1"/>
  <c r="N74" i="60" s="1"/>
  <c r="N65" i="60"/>
  <c r="O33" i="60"/>
  <c r="O82" i="60" s="1"/>
  <c r="K14" i="60"/>
  <c r="K64" i="60"/>
  <c r="O8" i="60"/>
  <c r="O57" i="60" s="1"/>
  <c r="O16" i="60"/>
  <c r="O65" i="60" s="1"/>
  <c r="O21" i="60"/>
  <c r="O70" i="60" s="1"/>
  <c r="C25" i="60"/>
  <c r="K25" i="60"/>
  <c r="K74" i="60" s="1"/>
  <c r="D25" i="60"/>
  <c r="D74" i="60" s="1"/>
  <c r="H25" i="60"/>
  <c r="H74" i="60" s="1"/>
  <c r="L25" i="60"/>
  <c r="L74" i="60" s="1"/>
  <c r="O36" i="60"/>
  <c r="O85" i="60" s="1"/>
  <c r="I30" i="60" l="1"/>
  <c r="L30" i="60"/>
  <c r="L27" i="60" s="1"/>
  <c r="I50" i="61"/>
  <c r="L50" i="61"/>
  <c r="L72" i="61"/>
  <c r="M51" i="61"/>
  <c r="M72" i="61"/>
  <c r="T32" i="3"/>
  <c r="T29" i="3" s="1"/>
  <c r="E72" i="61"/>
  <c r="E50" i="61"/>
  <c r="P49" i="33"/>
  <c r="P52" i="33"/>
  <c r="P69" i="33"/>
  <c r="P64" i="33" s="1"/>
  <c r="P57" i="33"/>
  <c r="P72" i="33"/>
  <c r="C32" i="62"/>
  <c r="O32" i="62" s="1"/>
  <c r="O7" i="62"/>
  <c r="C50" i="61"/>
  <c r="C51" i="61"/>
  <c r="O49" i="61"/>
  <c r="C72" i="61"/>
  <c r="D64" i="60"/>
  <c r="D14" i="60"/>
  <c r="D63" i="60" s="1"/>
  <c r="G14" i="60"/>
  <c r="G25" i="60"/>
  <c r="G74" i="60" s="1"/>
  <c r="E30" i="60"/>
  <c r="H30" i="60"/>
  <c r="U73" i="13"/>
  <c r="U51" i="13"/>
  <c r="U48" i="13"/>
  <c r="U52" i="13"/>
  <c r="M30" i="60"/>
  <c r="M27" i="60" s="1"/>
  <c r="N14" i="60"/>
  <c r="N63" i="60" s="1"/>
  <c r="N64" i="60"/>
  <c r="F14" i="60"/>
  <c r="F63" i="60" s="1"/>
  <c r="F64" i="60"/>
  <c r="O15" i="60"/>
  <c r="O64" i="60" s="1"/>
  <c r="L32" i="60"/>
  <c r="L81" i="60" s="1"/>
  <c r="L79" i="60"/>
  <c r="L31" i="60"/>
  <c r="L80" i="60" s="1"/>
  <c r="L44" i="60"/>
  <c r="I31" i="60"/>
  <c r="I80" i="60" s="1"/>
  <c r="C74" i="60"/>
  <c r="K30" i="60"/>
  <c r="K27" i="60" s="1"/>
  <c r="K63" i="60"/>
  <c r="C63" i="60"/>
  <c r="F56" i="60"/>
  <c r="N56" i="60"/>
  <c r="J14" i="60"/>
  <c r="J63" i="60" s="1"/>
  <c r="J64" i="60"/>
  <c r="C30" i="60"/>
  <c r="C27" i="60" s="1"/>
  <c r="J56" i="60"/>
  <c r="O7" i="60"/>
  <c r="O56" i="60" s="1"/>
  <c r="AB64" i="47"/>
  <c r="AB62" i="47"/>
  <c r="Z64" i="47"/>
  <c r="Z62" i="47"/>
  <c r="X64" i="47"/>
  <c r="X62" i="47"/>
  <c r="V64" i="47"/>
  <c r="V62" i="47"/>
  <c r="T64" i="47"/>
  <c r="T62" i="47"/>
  <c r="R64" i="47"/>
  <c r="R62" i="47"/>
  <c r="P64" i="47"/>
  <c r="P62" i="47"/>
  <c r="N64" i="47"/>
  <c r="N62" i="47"/>
  <c r="L64" i="47"/>
  <c r="L62" i="47"/>
  <c r="J64" i="47"/>
  <c r="J62" i="47"/>
  <c r="H64" i="47"/>
  <c r="H62" i="47"/>
  <c r="AB55" i="47"/>
  <c r="AB54" i="47"/>
  <c r="AB52" i="47"/>
  <c r="AB51" i="47"/>
  <c r="AB48" i="47"/>
  <c r="AB47" i="47"/>
  <c r="AB46" i="47"/>
  <c r="Z55" i="47"/>
  <c r="Z54" i="47"/>
  <c r="Z52" i="47"/>
  <c r="Z51" i="47"/>
  <c r="Z48" i="47"/>
  <c r="Z47" i="47"/>
  <c r="Z46" i="47"/>
  <c r="X55" i="47"/>
  <c r="X54" i="47"/>
  <c r="X52" i="47"/>
  <c r="X51" i="47"/>
  <c r="X48" i="47"/>
  <c r="X47" i="47"/>
  <c r="X46" i="47"/>
  <c r="V55" i="47"/>
  <c r="V54" i="47"/>
  <c r="V52" i="47"/>
  <c r="V51" i="47"/>
  <c r="V48" i="47"/>
  <c r="V47" i="47"/>
  <c r="V46" i="47"/>
  <c r="T54" i="47"/>
  <c r="T52" i="47"/>
  <c r="T51" i="47"/>
  <c r="T48" i="47"/>
  <c r="T47" i="47"/>
  <c r="T46" i="47"/>
  <c r="R54" i="47"/>
  <c r="R52" i="47"/>
  <c r="R51" i="47"/>
  <c r="R48" i="47"/>
  <c r="R47" i="47"/>
  <c r="R46" i="47"/>
  <c r="P54" i="47"/>
  <c r="P52" i="47"/>
  <c r="P51" i="47"/>
  <c r="P48" i="47"/>
  <c r="P47" i="47"/>
  <c r="P46" i="47"/>
  <c r="N54" i="47"/>
  <c r="N52" i="47"/>
  <c r="N51" i="47"/>
  <c r="N48" i="47"/>
  <c r="N47" i="47"/>
  <c r="N46" i="47"/>
  <c r="L54" i="47"/>
  <c r="L52" i="47"/>
  <c r="L51" i="47"/>
  <c r="L48" i="47"/>
  <c r="L47" i="47"/>
  <c r="L46" i="47"/>
  <c r="AA50" i="47"/>
  <c r="AB50" i="47" s="1"/>
  <c r="Y50" i="47"/>
  <c r="Z50" i="47" s="1"/>
  <c r="W50" i="47"/>
  <c r="X50" i="47" s="1"/>
  <c r="U50" i="47"/>
  <c r="V50" i="47" s="1"/>
  <c r="S50" i="47"/>
  <c r="T50" i="47" s="1"/>
  <c r="Q50" i="47"/>
  <c r="R50" i="47" s="1"/>
  <c r="O50" i="47"/>
  <c r="P50" i="47" s="1"/>
  <c r="M50" i="47"/>
  <c r="N50" i="47" s="1"/>
  <c r="K50" i="47"/>
  <c r="L50" i="47" s="1"/>
  <c r="H54" i="47"/>
  <c r="H52" i="47"/>
  <c r="H51" i="47"/>
  <c r="H48" i="47"/>
  <c r="H47" i="47"/>
  <c r="H46" i="47"/>
  <c r="J54" i="47"/>
  <c r="J52" i="47"/>
  <c r="J51" i="47"/>
  <c r="J50" i="47"/>
  <c r="J48" i="47"/>
  <c r="J47" i="47"/>
  <c r="J46" i="47"/>
  <c r="I50" i="47"/>
  <c r="G50" i="47"/>
  <c r="E50" i="47"/>
  <c r="F54" i="47"/>
  <c r="F52" i="47"/>
  <c r="F51" i="47"/>
  <c r="F50" i="47"/>
  <c r="F48" i="47"/>
  <c r="F47" i="47"/>
  <c r="F46" i="47"/>
  <c r="C50" i="47"/>
  <c r="D50" i="47" s="1"/>
  <c r="D54" i="47"/>
  <c r="D52" i="47"/>
  <c r="D51" i="47"/>
  <c r="D48" i="47"/>
  <c r="D47" i="47"/>
  <c r="D46" i="47"/>
  <c r="AA61" i="47"/>
  <c r="AB61" i="47" s="1"/>
  <c r="Y61" i="47"/>
  <c r="Z61" i="47" s="1"/>
  <c r="W61" i="47"/>
  <c r="X61" i="47" s="1"/>
  <c r="U61" i="47"/>
  <c r="V61" i="47" s="1"/>
  <c r="S61" i="47"/>
  <c r="T61" i="47" s="1"/>
  <c r="Q61" i="47"/>
  <c r="R61" i="47" s="1"/>
  <c r="O61" i="47"/>
  <c r="P61" i="47" s="1"/>
  <c r="M61" i="47"/>
  <c r="N61" i="47" s="1"/>
  <c r="K61" i="47"/>
  <c r="L61" i="47" s="1"/>
  <c r="I61" i="47"/>
  <c r="J61" i="47" s="1"/>
  <c r="G61" i="47"/>
  <c r="H61" i="47" s="1"/>
  <c r="AA45" i="47"/>
  <c r="AB45" i="47" s="1"/>
  <c r="Y45" i="47"/>
  <c r="Z45" i="47" s="1"/>
  <c r="W45" i="47"/>
  <c r="X45" i="47" s="1"/>
  <c r="U45" i="47"/>
  <c r="U43" i="47" s="1"/>
  <c r="V43" i="47" s="1"/>
  <c r="S45" i="47"/>
  <c r="T45" i="47" s="1"/>
  <c r="Q45" i="47"/>
  <c r="R45" i="47" s="1"/>
  <c r="O45" i="47"/>
  <c r="P45" i="47" s="1"/>
  <c r="M45" i="47"/>
  <c r="N45" i="47" s="1"/>
  <c r="K45" i="47"/>
  <c r="L45" i="47" s="1"/>
  <c r="I45" i="47"/>
  <c r="I43" i="47" s="1"/>
  <c r="J43" i="47" s="1"/>
  <c r="G45" i="47"/>
  <c r="H45" i="47" s="1"/>
  <c r="E45" i="47"/>
  <c r="E43" i="47" s="1"/>
  <c r="C45" i="47"/>
  <c r="C43" i="47" s="1"/>
  <c r="D45" i="47" l="1"/>
  <c r="F45" i="47"/>
  <c r="K76" i="60"/>
  <c r="K28" i="60"/>
  <c r="K77" i="60" s="1"/>
  <c r="M28" i="60"/>
  <c r="M77" i="60" s="1"/>
  <c r="M76" i="60"/>
  <c r="C76" i="60"/>
  <c r="C28" i="60"/>
  <c r="C77" i="60" s="1"/>
  <c r="H32" i="60"/>
  <c r="H81" i="60" s="1"/>
  <c r="H27" i="60"/>
  <c r="J45" i="47"/>
  <c r="V45" i="47"/>
  <c r="E79" i="60"/>
  <c r="E27" i="60"/>
  <c r="L76" i="60"/>
  <c r="L28" i="60"/>
  <c r="L77" i="60" s="1"/>
  <c r="G43" i="47"/>
  <c r="H43" i="47" s="1"/>
  <c r="I44" i="60"/>
  <c r="I27" i="60"/>
  <c r="T30" i="3"/>
  <c r="T98" i="3" s="1"/>
  <c r="T97" i="3"/>
  <c r="Q43" i="47"/>
  <c r="R43" i="47" s="1"/>
  <c r="Y43" i="47"/>
  <c r="Z43" i="47" s="1"/>
  <c r="H50" i="47"/>
  <c r="D30" i="60"/>
  <c r="I79" i="60"/>
  <c r="I32" i="60"/>
  <c r="I81" i="60" s="1"/>
  <c r="O51" i="61"/>
  <c r="O50" i="61"/>
  <c r="O72" i="61"/>
  <c r="T34" i="3"/>
  <c r="T46" i="3"/>
  <c r="T33" i="3"/>
  <c r="P48" i="33"/>
  <c r="O25" i="60"/>
  <c r="O74" i="60" s="1"/>
  <c r="E44" i="60"/>
  <c r="H31" i="60"/>
  <c r="H80" i="60" s="1"/>
  <c r="H79" i="60"/>
  <c r="E31" i="60"/>
  <c r="E80" i="60" s="1"/>
  <c r="F30" i="60"/>
  <c r="E32" i="60"/>
  <c r="E81" i="60" s="1"/>
  <c r="N30" i="60"/>
  <c r="H44" i="60"/>
  <c r="J30" i="60"/>
  <c r="G63" i="60"/>
  <c r="G30" i="60"/>
  <c r="G27" i="60" s="1"/>
  <c r="D79" i="60"/>
  <c r="D31" i="60"/>
  <c r="D80" i="60" s="1"/>
  <c r="D44" i="60"/>
  <c r="C44" i="60"/>
  <c r="C32" i="60"/>
  <c r="C79" i="60"/>
  <c r="C31" i="60"/>
  <c r="O14" i="60"/>
  <c r="O63" i="60" s="1"/>
  <c r="K44" i="60"/>
  <c r="K32" i="60"/>
  <c r="K81" i="60" s="1"/>
  <c r="K79" i="60"/>
  <c r="K31" i="60"/>
  <c r="K80" i="60" s="1"/>
  <c r="M79" i="60"/>
  <c r="M31" i="60"/>
  <c r="M80" i="60" s="1"/>
  <c r="M44" i="60"/>
  <c r="M32" i="60"/>
  <c r="M81" i="60" s="1"/>
  <c r="M43" i="47"/>
  <c r="N43" i="47" s="1"/>
  <c r="F43" i="47"/>
  <c r="U65" i="47"/>
  <c r="V65" i="47" s="1"/>
  <c r="Q65" i="47"/>
  <c r="R65" i="47" s="1"/>
  <c r="I65" i="47"/>
  <c r="J65" i="47" s="1"/>
  <c r="K43" i="47"/>
  <c r="L43" i="47" s="1"/>
  <c r="O43" i="47"/>
  <c r="P43" i="47" s="1"/>
  <c r="S43" i="47"/>
  <c r="T43" i="47" s="1"/>
  <c r="AA43" i="47"/>
  <c r="AB43" i="47" s="1"/>
  <c r="D43" i="47"/>
  <c r="W43" i="47"/>
  <c r="X43" i="47" s="1"/>
  <c r="I76" i="60" l="1"/>
  <c r="I28" i="60"/>
  <c r="I77" i="60" s="1"/>
  <c r="G76" i="60"/>
  <c r="G28" i="60"/>
  <c r="G77" i="60" s="1"/>
  <c r="N44" i="60"/>
  <c r="N27" i="60"/>
  <c r="E28" i="60"/>
  <c r="E76" i="60"/>
  <c r="H76" i="60"/>
  <c r="H28" i="60"/>
  <c r="H77" i="60" s="1"/>
  <c r="D32" i="60"/>
  <c r="D81" i="60" s="1"/>
  <c r="D27" i="60"/>
  <c r="J32" i="60"/>
  <c r="J81" i="60" s="1"/>
  <c r="J27" i="60"/>
  <c r="F32" i="60"/>
  <c r="F81" i="60" s="1"/>
  <c r="F27" i="60"/>
  <c r="M65" i="47"/>
  <c r="N65" i="47" s="1"/>
  <c r="Y65" i="47"/>
  <c r="Z65" i="47" s="1"/>
  <c r="N79" i="60"/>
  <c r="J79" i="60"/>
  <c r="AB34" i="3"/>
  <c r="F44" i="60"/>
  <c r="F31" i="60"/>
  <c r="F80" i="60" s="1"/>
  <c r="F79" i="60"/>
  <c r="O30" i="60"/>
  <c r="O79" i="60" s="1"/>
  <c r="N32" i="60"/>
  <c r="N81" i="60" s="1"/>
  <c r="N31" i="60"/>
  <c r="N80" i="60" s="1"/>
  <c r="J44" i="60"/>
  <c r="J31" i="60"/>
  <c r="J80" i="60" s="1"/>
  <c r="G32" i="60"/>
  <c r="G81" i="60" s="1"/>
  <c r="G79" i="60"/>
  <c r="G44" i="60"/>
  <c r="G31" i="60"/>
  <c r="G80" i="60" s="1"/>
  <c r="C81" i="60"/>
  <c r="C80" i="60"/>
  <c r="S65" i="47"/>
  <c r="T65" i="47" s="1"/>
  <c r="O65" i="47"/>
  <c r="P65" i="47" s="1"/>
  <c r="W65" i="47"/>
  <c r="X65" i="47" s="1"/>
  <c r="K65" i="47"/>
  <c r="L65" i="47" s="1"/>
  <c r="G65" i="47"/>
  <c r="H65" i="47" s="1"/>
  <c r="AA65" i="47"/>
  <c r="AB65" i="47" s="1"/>
  <c r="F76" i="60" l="1"/>
  <c r="F28" i="60"/>
  <c r="F77" i="60" s="1"/>
  <c r="D76" i="60"/>
  <c r="D28" i="60"/>
  <c r="D77" i="60" s="1"/>
  <c r="O27" i="60"/>
  <c r="O76" i="60" s="1"/>
  <c r="O28" i="60"/>
  <c r="O77" i="60" s="1"/>
  <c r="E77" i="60"/>
  <c r="J28" i="60"/>
  <c r="J77" i="60" s="1"/>
  <c r="J76" i="60"/>
  <c r="N76" i="60"/>
  <c r="N28" i="60"/>
  <c r="N77" i="60" s="1"/>
  <c r="O44" i="60"/>
  <c r="O31" i="60"/>
  <c r="O80" i="60" s="1"/>
  <c r="O32" i="60"/>
  <c r="R32" i="60" s="1"/>
  <c r="O81" i="60" l="1"/>
  <c r="C34" i="48" l="1"/>
  <c r="S41" i="13" l="1"/>
  <c r="F74" i="44" l="1"/>
  <c r="E74" i="44"/>
  <c r="F70" i="44"/>
  <c r="E70" i="44"/>
  <c r="D46" i="44"/>
  <c r="F45" i="44"/>
  <c r="E45" i="44"/>
  <c r="AA23" i="47" l="1"/>
  <c r="AB25" i="47"/>
  <c r="H26" i="47"/>
  <c r="J26" i="47"/>
  <c r="L26" i="47"/>
  <c r="N26" i="47"/>
  <c r="P26" i="47"/>
  <c r="R26" i="47"/>
  <c r="T26" i="47"/>
  <c r="V26" i="47"/>
  <c r="X26" i="47"/>
  <c r="Z26" i="47"/>
  <c r="AB26" i="47"/>
  <c r="F411" i="51" l="1"/>
  <c r="E411" i="51"/>
  <c r="D411" i="51"/>
  <c r="C411" i="51"/>
  <c r="F395" i="51"/>
  <c r="E395" i="51"/>
  <c r="D395" i="51"/>
  <c r="C395" i="51"/>
  <c r="C396" i="51" s="1"/>
  <c r="C412" i="51" s="1"/>
  <c r="D351" i="51"/>
  <c r="C351" i="51"/>
  <c r="D338" i="51"/>
  <c r="C338" i="51"/>
  <c r="D323" i="51"/>
  <c r="C323" i="51"/>
  <c r="D310" i="51"/>
  <c r="C310" i="51"/>
  <c r="D295" i="51"/>
  <c r="C295" i="51"/>
  <c r="D282" i="51"/>
  <c r="C282" i="51"/>
  <c r="D267" i="51"/>
  <c r="C267" i="51"/>
  <c r="D254" i="51"/>
  <c r="C254" i="51"/>
  <c r="D239" i="51"/>
  <c r="C239" i="51"/>
  <c r="D226" i="51"/>
  <c r="C226" i="51"/>
  <c r="D196" i="51"/>
  <c r="C196" i="51"/>
  <c r="D183" i="51"/>
  <c r="C183" i="51"/>
  <c r="D168" i="51"/>
  <c r="C168" i="51"/>
  <c r="D155" i="51"/>
  <c r="C155" i="51"/>
  <c r="D152" i="51"/>
  <c r="D151" i="51"/>
  <c r="C151" i="51"/>
  <c r="D150" i="51"/>
  <c r="D140" i="51" s="1"/>
  <c r="C150" i="51"/>
  <c r="D149" i="51"/>
  <c r="C149" i="51"/>
  <c r="C147" i="51"/>
  <c r="C145" i="51"/>
  <c r="D138" i="51"/>
  <c r="C138" i="51"/>
  <c r="D137" i="51"/>
  <c r="C137" i="51"/>
  <c r="D136" i="51"/>
  <c r="C136" i="51"/>
  <c r="D135" i="51"/>
  <c r="C135" i="51"/>
  <c r="D134" i="51"/>
  <c r="C134" i="51"/>
  <c r="D131" i="51"/>
  <c r="C131" i="51"/>
  <c r="D130" i="51"/>
  <c r="C130" i="51"/>
  <c r="D112" i="51"/>
  <c r="C112" i="51"/>
  <c r="D99" i="51"/>
  <c r="C99" i="51"/>
  <c r="D84" i="51"/>
  <c r="C84" i="51"/>
  <c r="D71" i="51"/>
  <c r="C71" i="51"/>
  <c r="D54" i="51"/>
  <c r="C54" i="51"/>
  <c r="D49" i="51"/>
  <c r="C49" i="51"/>
  <c r="D48" i="51"/>
  <c r="C48" i="51"/>
  <c r="D47" i="51"/>
  <c r="C47" i="51"/>
  <c r="D46" i="51"/>
  <c r="C46" i="51"/>
  <c r="D45" i="51"/>
  <c r="C45" i="51"/>
  <c r="D44" i="51"/>
  <c r="C44" i="51"/>
  <c r="D43" i="51"/>
  <c r="C43" i="51"/>
  <c r="D42" i="51"/>
  <c r="C42" i="51"/>
  <c r="D41" i="51"/>
  <c r="C41" i="51"/>
  <c r="D40" i="51"/>
  <c r="D39" i="51" s="1"/>
  <c r="C40" i="51"/>
  <c r="C39" i="51" s="1"/>
  <c r="D24" i="51"/>
  <c r="C24" i="51"/>
  <c r="D11" i="51"/>
  <c r="C11" i="51"/>
  <c r="C127" i="51" l="1"/>
  <c r="C37" i="51"/>
  <c r="C69" i="51" s="1"/>
  <c r="C97" i="51" s="1"/>
  <c r="C125" i="51" s="1"/>
  <c r="C252" i="51"/>
  <c r="C280" i="51" s="1"/>
  <c r="C308" i="51" s="1"/>
  <c r="C336" i="51" s="1"/>
  <c r="C364" i="51" s="1"/>
  <c r="D252" i="51"/>
  <c r="D280" i="51" s="1"/>
  <c r="D308" i="51" s="1"/>
  <c r="D336" i="51" s="1"/>
  <c r="D364" i="51" s="1"/>
  <c r="E396" i="51"/>
  <c r="E412" i="51" s="1"/>
  <c r="D37" i="51"/>
  <c r="D69" i="51" s="1"/>
  <c r="D97" i="51" s="1"/>
  <c r="D125" i="51" s="1"/>
  <c r="D127" i="51"/>
  <c r="C140" i="51"/>
  <c r="D153" i="51" l="1"/>
  <c r="D181" i="51" s="1"/>
  <c r="D209" i="51" s="1"/>
  <c r="C153" i="51"/>
  <c r="C181" i="51" s="1"/>
  <c r="C209" i="51" s="1"/>
  <c r="N98" i="12"/>
  <c r="M98" i="12"/>
  <c r="L98" i="12"/>
  <c r="K98" i="12"/>
  <c r="J98" i="12"/>
  <c r="I98" i="12"/>
  <c r="H98" i="12"/>
  <c r="G98" i="12"/>
  <c r="F98" i="12"/>
  <c r="E98" i="12"/>
  <c r="D98" i="12"/>
  <c r="C98" i="12"/>
  <c r="N92" i="12"/>
  <c r="M92" i="12"/>
  <c r="L92" i="12"/>
  <c r="K92" i="12"/>
  <c r="J92" i="12"/>
  <c r="I92" i="12"/>
  <c r="H92" i="12"/>
  <c r="G92" i="12"/>
  <c r="F92" i="12"/>
  <c r="E92" i="12"/>
  <c r="D92" i="12"/>
  <c r="C92" i="12"/>
  <c r="N91" i="12"/>
  <c r="M91" i="12"/>
  <c r="L91" i="12"/>
  <c r="K91" i="12"/>
  <c r="J91" i="12"/>
  <c r="I91" i="12"/>
  <c r="H91" i="12"/>
  <c r="G91" i="12"/>
  <c r="F91" i="12"/>
  <c r="E91" i="12"/>
  <c r="D91" i="12"/>
  <c r="C91" i="12"/>
  <c r="N90" i="12"/>
  <c r="M90" i="12"/>
  <c r="L90" i="12"/>
  <c r="K90" i="12"/>
  <c r="J90" i="12"/>
  <c r="I90" i="12"/>
  <c r="H90" i="12"/>
  <c r="G90" i="12"/>
  <c r="F90" i="12"/>
  <c r="E90" i="12"/>
  <c r="D90" i="12"/>
  <c r="C90" i="12"/>
  <c r="N89" i="12"/>
  <c r="M89" i="12"/>
  <c r="L89" i="12"/>
  <c r="K89" i="12"/>
  <c r="J89" i="12"/>
  <c r="I89" i="12"/>
  <c r="H89" i="12"/>
  <c r="G89" i="12"/>
  <c r="F89" i="12"/>
  <c r="E89" i="12"/>
  <c r="D89" i="12"/>
  <c r="C89" i="12"/>
  <c r="N88" i="12"/>
  <c r="M88" i="12"/>
  <c r="L88" i="12"/>
  <c r="K88" i="12"/>
  <c r="J88" i="12"/>
  <c r="I88" i="12"/>
  <c r="H88" i="12"/>
  <c r="G88" i="12"/>
  <c r="F88" i="12"/>
  <c r="E88" i="12"/>
  <c r="D88" i="12"/>
  <c r="C88" i="12"/>
  <c r="N87" i="12"/>
  <c r="M87" i="12"/>
  <c r="L87" i="12"/>
  <c r="K87" i="12"/>
  <c r="J87" i="12"/>
  <c r="I87" i="12"/>
  <c r="H87" i="12"/>
  <c r="G87" i="12"/>
  <c r="F87" i="12"/>
  <c r="E87" i="12"/>
  <c r="D87" i="12"/>
  <c r="C87" i="12"/>
  <c r="N86" i="12"/>
  <c r="M86" i="12"/>
  <c r="L86" i="12"/>
  <c r="K86" i="12"/>
  <c r="J86" i="12"/>
  <c r="I86" i="12"/>
  <c r="H86" i="12"/>
  <c r="G86" i="12"/>
  <c r="F86" i="12"/>
  <c r="E86" i="12"/>
  <c r="D86" i="12"/>
  <c r="C86" i="12"/>
  <c r="N84" i="12"/>
  <c r="M84" i="12"/>
  <c r="L84" i="12"/>
  <c r="K84" i="12"/>
  <c r="J84" i="12"/>
  <c r="I84" i="12"/>
  <c r="H84" i="12"/>
  <c r="G84" i="12"/>
  <c r="F84" i="12"/>
  <c r="E84" i="12"/>
  <c r="D84" i="12"/>
  <c r="C84" i="12"/>
  <c r="N83" i="12"/>
  <c r="M83" i="12"/>
  <c r="L83" i="12"/>
  <c r="K83" i="12"/>
  <c r="J83" i="12"/>
  <c r="I83" i="12"/>
  <c r="H83" i="12"/>
  <c r="G83" i="12"/>
  <c r="F83" i="12"/>
  <c r="E83" i="12"/>
  <c r="D83" i="12"/>
  <c r="C83" i="12"/>
  <c r="N73" i="12"/>
  <c r="M73" i="12"/>
  <c r="L73" i="12"/>
  <c r="K73" i="12"/>
  <c r="J73" i="12"/>
  <c r="I73" i="12"/>
  <c r="H73" i="12"/>
  <c r="G73" i="12"/>
  <c r="F73" i="12"/>
  <c r="E73" i="12"/>
  <c r="D73" i="12"/>
  <c r="C73" i="12"/>
  <c r="N72" i="12"/>
  <c r="M72" i="12"/>
  <c r="L72" i="12"/>
  <c r="K72" i="12"/>
  <c r="J72" i="12"/>
  <c r="I72" i="12"/>
  <c r="H72" i="12"/>
  <c r="G72" i="12"/>
  <c r="F72" i="12"/>
  <c r="E72" i="12"/>
  <c r="D72" i="12"/>
  <c r="C72" i="12"/>
  <c r="N71" i="12"/>
  <c r="M71" i="12"/>
  <c r="L71" i="12"/>
  <c r="K71" i="12"/>
  <c r="J71" i="12"/>
  <c r="I71" i="12"/>
  <c r="H71" i="12"/>
  <c r="G71" i="12"/>
  <c r="F71" i="12"/>
  <c r="E71" i="12"/>
  <c r="D71" i="12"/>
  <c r="C71" i="12"/>
  <c r="N69" i="12"/>
  <c r="M69" i="12"/>
  <c r="L69" i="12"/>
  <c r="K69" i="12"/>
  <c r="J69" i="12"/>
  <c r="I69" i="12"/>
  <c r="H69" i="12"/>
  <c r="G69" i="12"/>
  <c r="F69" i="12"/>
  <c r="E69" i="12"/>
  <c r="D69" i="12"/>
  <c r="C69" i="12"/>
  <c r="N68" i="12"/>
  <c r="M68" i="12"/>
  <c r="L68" i="12"/>
  <c r="K68" i="12"/>
  <c r="J68" i="12"/>
  <c r="I68" i="12"/>
  <c r="H68" i="12"/>
  <c r="G68" i="12"/>
  <c r="F68" i="12"/>
  <c r="E68" i="12"/>
  <c r="D68" i="12"/>
  <c r="C68" i="12"/>
  <c r="N67" i="12"/>
  <c r="M67" i="12"/>
  <c r="L67" i="12"/>
  <c r="K67" i="12"/>
  <c r="J67" i="12"/>
  <c r="I67" i="12"/>
  <c r="H67" i="12"/>
  <c r="G67" i="12"/>
  <c r="F67" i="12"/>
  <c r="E67" i="12"/>
  <c r="D67" i="12"/>
  <c r="C67" i="12"/>
  <c r="N66" i="12"/>
  <c r="M66" i="12"/>
  <c r="L66" i="12"/>
  <c r="K66" i="12"/>
  <c r="J66" i="12"/>
  <c r="I66" i="12"/>
  <c r="H66" i="12"/>
  <c r="G66" i="12"/>
  <c r="F66" i="12"/>
  <c r="E66" i="12"/>
  <c r="D66" i="12"/>
  <c r="C66" i="12"/>
  <c r="N62" i="12"/>
  <c r="M62" i="12"/>
  <c r="L62" i="12"/>
  <c r="K62" i="12"/>
  <c r="J62" i="12"/>
  <c r="I62" i="12"/>
  <c r="H62" i="12"/>
  <c r="G62" i="12"/>
  <c r="F62" i="12"/>
  <c r="E62" i="12"/>
  <c r="D62" i="12"/>
  <c r="C62" i="12"/>
  <c r="N61" i="12"/>
  <c r="M61" i="12"/>
  <c r="L61" i="12"/>
  <c r="K61" i="12"/>
  <c r="J61" i="12"/>
  <c r="I61" i="12"/>
  <c r="H61" i="12"/>
  <c r="G61" i="12"/>
  <c r="F61" i="12"/>
  <c r="E61" i="12"/>
  <c r="D61" i="12"/>
  <c r="C61" i="12"/>
  <c r="N60" i="12"/>
  <c r="M60" i="12"/>
  <c r="L60" i="12"/>
  <c r="K60" i="12"/>
  <c r="J60" i="12"/>
  <c r="I60" i="12"/>
  <c r="H60" i="12"/>
  <c r="G60" i="12"/>
  <c r="F60" i="12"/>
  <c r="E60" i="12"/>
  <c r="D60" i="12"/>
  <c r="C60" i="12"/>
  <c r="N59" i="12"/>
  <c r="M59" i="12"/>
  <c r="L59" i="12"/>
  <c r="K59" i="12"/>
  <c r="J59" i="12"/>
  <c r="I59" i="12"/>
  <c r="H59" i="12"/>
  <c r="G59" i="12"/>
  <c r="F59" i="12"/>
  <c r="E59" i="12"/>
  <c r="D59" i="12"/>
  <c r="C59" i="12"/>
  <c r="N58" i="12"/>
  <c r="M58" i="12"/>
  <c r="L58" i="12"/>
  <c r="K58" i="12"/>
  <c r="J58" i="12"/>
  <c r="I58" i="12"/>
  <c r="H58" i="12"/>
  <c r="G58" i="12"/>
  <c r="F58" i="12"/>
  <c r="E58" i="12"/>
  <c r="D58" i="12"/>
  <c r="C58" i="12"/>
  <c r="O49" i="12"/>
  <c r="O98" i="12" s="1"/>
  <c r="O43" i="12"/>
  <c r="O92" i="12" s="1"/>
  <c r="O42" i="12"/>
  <c r="O91" i="12" s="1"/>
  <c r="O41" i="12"/>
  <c r="O90" i="12" s="1"/>
  <c r="O40" i="12"/>
  <c r="O89" i="12" s="1"/>
  <c r="O39" i="12"/>
  <c r="O88" i="12" s="1"/>
  <c r="O38" i="12"/>
  <c r="O87" i="12" s="1"/>
  <c r="O37" i="12"/>
  <c r="O86" i="12" s="1"/>
  <c r="N36" i="12"/>
  <c r="N85" i="12" s="1"/>
  <c r="M36" i="12"/>
  <c r="L36" i="12"/>
  <c r="K36" i="12"/>
  <c r="J36" i="12"/>
  <c r="I36" i="12"/>
  <c r="H36" i="12"/>
  <c r="G36" i="12"/>
  <c r="F36" i="12"/>
  <c r="E36" i="12"/>
  <c r="D36" i="12"/>
  <c r="C36" i="12"/>
  <c r="O35" i="12"/>
  <c r="O84" i="12" s="1"/>
  <c r="O34" i="12"/>
  <c r="O83" i="12" s="1"/>
  <c r="N33" i="12"/>
  <c r="N82" i="12" s="1"/>
  <c r="M33" i="12"/>
  <c r="M82" i="12" s="1"/>
  <c r="L33" i="12"/>
  <c r="L82" i="12" s="1"/>
  <c r="K33" i="12"/>
  <c r="K82" i="12" s="1"/>
  <c r="J33" i="12"/>
  <c r="J82" i="12" s="1"/>
  <c r="I33" i="12"/>
  <c r="I82" i="12" s="1"/>
  <c r="H33" i="12"/>
  <c r="H82" i="12" s="1"/>
  <c r="G33" i="12"/>
  <c r="G82" i="12" s="1"/>
  <c r="F33" i="12"/>
  <c r="F82" i="12" s="1"/>
  <c r="E33" i="12"/>
  <c r="E82" i="12" s="1"/>
  <c r="D33" i="12"/>
  <c r="D82" i="12" s="1"/>
  <c r="C33" i="12"/>
  <c r="C82" i="12" s="1"/>
  <c r="O24" i="12"/>
  <c r="O73" i="12" s="1"/>
  <c r="O23" i="12"/>
  <c r="O72" i="12" s="1"/>
  <c r="O22" i="12"/>
  <c r="O71" i="12" s="1"/>
  <c r="N21" i="12"/>
  <c r="N70" i="12" s="1"/>
  <c r="M21" i="12"/>
  <c r="M70" i="12" s="1"/>
  <c r="L21" i="12"/>
  <c r="L70" i="12" s="1"/>
  <c r="K21" i="12"/>
  <c r="K70" i="12" s="1"/>
  <c r="J21" i="12"/>
  <c r="J70" i="12" s="1"/>
  <c r="I21" i="12"/>
  <c r="I70" i="12" s="1"/>
  <c r="H21" i="12"/>
  <c r="H70" i="12" s="1"/>
  <c r="G21" i="12"/>
  <c r="G70" i="12" s="1"/>
  <c r="F21" i="12"/>
  <c r="F70" i="12" s="1"/>
  <c r="E21" i="12"/>
  <c r="E70" i="12" s="1"/>
  <c r="D21" i="12"/>
  <c r="D70" i="12" s="1"/>
  <c r="C21" i="12"/>
  <c r="C70" i="12" s="1"/>
  <c r="O20" i="12"/>
  <c r="O69" i="12" s="1"/>
  <c r="O19" i="12"/>
  <c r="O68" i="12" s="1"/>
  <c r="O18" i="12"/>
  <c r="O67" i="12" s="1"/>
  <c r="O17" i="12"/>
  <c r="O66" i="12" s="1"/>
  <c r="N16" i="12"/>
  <c r="M16" i="12"/>
  <c r="M65" i="12" s="1"/>
  <c r="L16" i="12"/>
  <c r="K16" i="12"/>
  <c r="K15" i="12" s="1"/>
  <c r="J16" i="12"/>
  <c r="I16" i="12"/>
  <c r="I65" i="12" s="1"/>
  <c r="H16" i="12"/>
  <c r="G16" i="12"/>
  <c r="G65" i="12" s="1"/>
  <c r="F16" i="12"/>
  <c r="E16" i="12"/>
  <c r="E65" i="12" s="1"/>
  <c r="D16" i="12"/>
  <c r="C16" i="12"/>
  <c r="C15" i="12" s="1"/>
  <c r="O13" i="12"/>
  <c r="O62" i="12" s="1"/>
  <c r="O12" i="12"/>
  <c r="O61" i="12" s="1"/>
  <c r="O11" i="12"/>
  <c r="O60" i="12" s="1"/>
  <c r="O10" i="12"/>
  <c r="O59" i="12" s="1"/>
  <c r="O9" i="12"/>
  <c r="O58" i="12" s="1"/>
  <c r="N8" i="12"/>
  <c r="M8" i="12"/>
  <c r="M57" i="12" s="1"/>
  <c r="L8" i="12"/>
  <c r="K8" i="12"/>
  <c r="K57" i="12" s="1"/>
  <c r="J8" i="12"/>
  <c r="I8" i="12"/>
  <c r="I7" i="12" s="1"/>
  <c r="I56" i="12" s="1"/>
  <c r="H8" i="12"/>
  <c r="G8" i="12"/>
  <c r="G57" i="12" s="1"/>
  <c r="F8" i="12"/>
  <c r="E8" i="12"/>
  <c r="E57" i="12" s="1"/>
  <c r="D8" i="12"/>
  <c r="C8" i="12"/>
  <c r="C57" i="12" s="1"/>
  <c r="N98" i="11"/>
  <c r="M98" i="11"/>
  <c r="L98" i="11"/>
  <c r="K98" i="11"/>
  <c r="J98" i="11"/>
  <c r="I98" i="11"/>
  <c r="H98" i="11"/>
  <c r="G98" i="11"/>
  <c r="F98" i="11"/>
  <c r="E98" i="11"/>
  <c r="D98" i="11"/>
  <c r="C98" i="11"/>
  <c r="N92" i="11"/>
  <c r="M92" i="11"/>
  <c r="L92" i="11"/>
  <c r="K92" i="11"/>
  <c r="J92" i="11"/>
  <c r="I92" i="11"/>
  <c r="H92" i="11"/>
  <c r="G92" i="11"/>
  <c r="F92" i="11"/>
  <c r="E92" i="11"/>
  <c r="D92" i="11"/>
  <c r="C92" i="11"/>
  <c r="N91" i="11"/>
  <c r="M91" i="11"/>
  <c r="L91" i="11"/>
  <c r="K91" i="11"/>
  <c r="J91" i="11"/>
  <c r="I91" i="11"/>
  <c r="H91" i="11"/>
  <c r="G91" i="11"/>
  <c r="F91" i="11"/>
  <c r="E91" i="11"/>
  <c r="D91" i="11"/>
  <c r="C91" i="11"/>
  <c r="N90" i="11"/>
  <c r="M90" i="11"/>
  <c r="L90" i="11"/>
  <c r="K90" i="11"/>
  <c r="J90" i="11"/>
  <c r="I90" i="11"/>
  <c r="H90" i="11"/>
  <c r="G90" i="11"/>
  <c r="F90" i="11"/>
  <c r="E90" i="11"/>
  <c r="D90" i="11"/>
  <c r="C90" i="11"/>
  <c r="N89" i="11"/>
  <c r="M89" i="11"/>
  <c r="L89" i="11"/>
  <c r="K89" i="11"/>
  <c r="J89" i="11"/>
  <c r="I89" i="11"/>
  <c r="H89" i="11"/>
  <c r="G89" i="11"/>
  <c r="F89" i="11"/>
  <c r="E89" i="11"/>
  <c r="D89" i="11"/>
  <c r="C89" i="11"/>
  <c r="N88" i="11"/>
  <c r="M88" i="11"/>
  <c r="L88" i="11"/>
  <c r="K88" i="11"/>
  <c r="J88" i="11"/>
  <c r="I88" i="11"/>
  <c r="H88" i="11"/>
  <c r="G88" i="11"/>
  <c r="F88" i="11"/>
  <c r="E88" i="11"/>
  <c r="D88" i="11"/>
  <c r="C88" i="11"/>
  <c r="N87" i="11"/>
  <c r="M87" i="11"/>
  <c r="L87" i="11"/>
  <c r="K87" i="11"/>
  <c r="J87" i="11"/>
  <c r="I87" i="11"/>
  <c r="H87" i="11"/>
  <c r="G87" i="11"/>
  <c r="F87" i="11"/>
  <c r="E87" i="11"/>
  <c r="D87" i="11"/>
  <c r="C87" i="11"/>
  <c r="N86" i="11"/>
  <c r="M86" i="11"/>
  <c r="L86" i="11"/>
  <c r="K86" i="11"/>
  <c r="J86" i="11"/>
  <c r="I86" i="11"/>
  <c r="H86" i="11"/>
  <c r="G86" i="11"/>
  <c r="F86" i="11"/>
  <c r="E86" i="11"/>
  <c r="D86" i="11"/>
  <c r="C86" i="11"/>
  <c r="N84" i="11"/>
  <c r="M84" i="11"/>
  <c r="L84" i="11"/>
  <c r="K84" i="11"/>
  <c r="J84" i="11"/>
  <c r="I84" i="11"/>
  <c r="H84" i="11"/>
  <c r="G84" i="11"/>
  <c r="F84" i="11"/>
  <c r="E84" i="11"/>
  <c r="D84" i="11"/>
  <c r="C84" i="11"/>
  <c r="N83" i="11"/>
  <c r="M83" i="11"/>
  <c r="L83" i="11"/>
  <c r="K83" i="11"/>
  <c r="J83" i="11"/>
  <c r="I83" i="11"/>
  <c r="H83" i="11"/>
  <c r="G83" i="11"/>
  <c r="F83" i="11"/>
  <c r="E83" i="11"/>
  <c r="D83" i="11"/>
  <c r="C83" i="11"/>
  <c r="N73" i="11"/>
  <c r="M73" i="11"/>
  <c r="L73" i="11"/>
  <c r="K73" i="11"/>
  <c r="J73" i="11"/>
  <c r="I73" i="11"/>
  <c r="H73" i="11"/>
  <c r="G73" i="11"/>
  <c r="F73" i="11"/>
  <c r="E73" i="11"/>
  <c r="D73" i="11"/>
  <c r="C73" i="11"/>
  <c r="N72" i="11"/>
  <c r="M72" i="11"/>
  <c r="L72" i="11"/>
  <c r="K72" i="11"/>
  <c r="J72" i="11"/>
  <c r="I72" i="11"/>
  <c r="H72" i="11"/>
  <c r="G72" i="11"/>
  <c r="F72" i="11"/>
  <c r="E72" i="11"/>
  <c r="D72" i="11"/>
  <c r="C72" i="11"/>
  <c r="N71" i="11"/>
  <c r="M71" i="11"/>
  <c r="L71" i="11"/>
  <c r="K71" i="11"/>
  <c r="J71" i="11"/>
  <c r="I71" i="11"/>
  <c r="H71" i="11"/>
  <c r="G71" i="11"/>
  <c r="F71" i="11"/>
  <c r="E71" i="11"/>
  <c r="D71" i="11"/>
  <c r="C71" i="11"/>
  <c r="N69" i="11"/>
  <c r="M69" i="11"/>
  <c r="L69" i="11"/>
  <c r="K69" i="11"/>
  <c r="J69" i="11"/>
  <c r="I69" i="11"/>
  <c r="H69" i="11"/>
  <c r="G69" i="11"/>
  <c r="F69" i="11"/>
  <c r="E69" i="11"/>
  <c r="D69" i="11"/>
  <c r="C69" i="11"/>
  <c r="N68" i="11"/>
  <c r="M68" i="11"/>
  <c r="L68" i="11"/>
  <c r="K68" i="11"/>
  <c r="J68" i="11"/>
  <c r="I68" i="11"/>
  <c r="H68" i="11"/>
  <c r="G68" i="11"/>
  <c r="F68" i="11"/>
  <c r="E68" i="11"/>
  <c r="D68" i="11"/>
  <c r="C68" i="11"/>
  <c r="N67" i="11"/>
  <c r="M67" i="11"/>
  <c r="L67" i="11"/>
  <c r="K67" i="11"/>
  <c r="J67" i="11"/>
  <c r="I67" i="11"/>
  <c r="H67" i="11"/>
  <c r="G67" i="11"/>
  <c r="F67" i="11"/>
  <c r="E67" i="11"/>
  <c r="D67" i="11"/>
  <c r="C67" i="11"/>
  <c r="N66" i="11"/>
  <c r="M66" i="11"/>
  <c r="L66" i="11"/>
  <c r="K66" i="11"/>
  <c r="J66" i="11"/>
  <c r="I66" i="11"/>
  <c r="H66" i="11"/>
  <c r="G66" i="11"/>
  <c r="F66" i="11"/>
  <c r="E66" i="11"/>
  <c r="D66" i="11"/>
  <c r="C66" i="11"/>
  <c r="N62" i="11"/>
  <c r="M62" i="11"/>
  <c r="L62" i="11"/>
  <c r="K62" i="11"/>
  <c r="J62" i="11"/>
  <c r="I62" i="11"/>
  <c r="H62" i="11"/>
  <c r="G62" i="11"/>
  <c r="F62" i="11"/>
  <c r="E62" i="11"/>
  <c r="D62" i="11"/>
  <c r="C62" i="11"/>
  <c r="N61" i="11"/>
  <c r="M61" i="11"/>
  <c r="L61" i="11"/>
  <c r="K61" i="11"/>
  <c r="J61" i="11"/>
  <c r="I61" i="11"/>
  <c r="H61" i="11"/>
  <c r="G61" i="11"/>
  <c r="F61" i="11"/>
  <c r="E61" i="11"/>
  <c r="D61" i="11"/>
  <c r="C61" i="11"/>
  <c r="N60" i="11"/>
  <c r="M60" i="11"/>
  <c r="L60" i="11"/>
  <c r="K60" i="11"/>
  <c r="J60" i="11"/>
  <c r="I60" i="11"/>
  <c r="H60" i="11"/>
  <c r="G60" i="11"/>
  <c r="F60" i="11"/>
  <c r="E60" i="11"/>
  <c r="D60" i="11"/>
  <c r="C60" i="11"/>
  <c r="N59" i="11"/>
  <c r="M59" i="11"/>
  <c r="L59" i="11"/>
  <c r="K59" i="11"/>
  <c r="J59" i="11"/>
  <c r="I59" i="11"/>
  <c r="H59" i="11"/>
  <c r="G59" i="11"/>
  <c r="F59" i="11"/>
  <c r="E59" i="11"/>
  <c r="D59" i="11"/>
  <c r="C59" i="11"/>
  <c r="N58" i="11"/>
  <c r="M58" i="11"/>
  <c r="L58" i="11"/>
  <c r="K58" i="11"/>
  <c r="J58" i="11"/>
  <c r="I58" i="11"/>
  <c r="H58" i="11"/>
  <c r="G58" i="11"/>
  <c r="F58" i="11"/>
  <c r="E58" i="11"/>
  <c r="D58" i="11"/>
  <c r="C58" i="11"/>
  <c r="O49" i="11"/>
  <c r="O98" i="11" s="1"/>
  <c r="O43" i="11"/>
  <c r="O92" i="11" s="1"/>
  <c r="O42" i="11"/>
  <c r="O91" i="11" s="1"/>
  <c r="O41" i="11"/>
  <c r="O90" i="11" s="1"/>
  <c r="O40" i="11"/>
  <c r="O89" i="11" s="1"/>
  <c r="O39" i="11"/>
  <c r="O88" i="11" s="1"/>
  <c r="O38" i="11"/>
  <c r="O87" i="11" s="1"/>
  <c r="O37" i="11"/>
  <c r="O86" i="11" s="1"/>
  <c r="N36" i="11"/>
  <c r="N85" i="11" s="1"/>
  <c r="M36" i="11"/>
  <c r="M85" i="11" s="1"/>
  <c r="L36" i="11"/>
  <c r="L85" i="11" s="1"/>
  <c r="K36" i="11"/>
  <c r="K85" i="11" s="1"/>
  <c r="J36" i="11"/>
  <c r="J85" i="11" s="1"/>
  <c r="I36" i="11"/>
  <c r="I85" i="11" s="1"/>
  <c r="H36" i="11"/>
  <c r="H85" i="11" s="1"/>
  <c r="G36" i="11"/>
  <c r="G85" i="11" s="1"/>
  <c r="F36" i="11"/>
  <c r="F85" i="11" s="1"/>
  <c r="E36" i="11"/>
  <c r="E85" i="11" s="1"/>
  <c r="D36" i="11"/>
  <c r="D85" i="11" s="1"/>
  <c r="C36" i="11"/>
  <c r="C85" i="11" s="1"/>
  <c r="O35" i="11"/>
  <c r="O84" i="11" s="1"/>
  <c r="O34" i="11"/>
  <c r="O83" i="11" s="1"/>
  <c r="N33" i="11"/>
  <c r="N82" i="11" s="1"/>
  <c r="M33" i="11"/>
  <c r="M82" i="11" s="1"/>
  <c r="L33" i="11"/>
  <c r="L82" i="11" s="1"/>
  <c r="K33" i="11"/>
  <c r="K82" i="11" s="1"/>
  <c r="J33" i="11"/>
  <c r="J82" i="11" s="1"/>
  <c r="I33" i="11"/>
  <c r="I82" i="11" s="1"/>
  <c r="H33" i="11"/>
  <c r="H82" i="11" s="1"/>
  <c r="G33" i="11"/>
  <c r="G82" i="11" s="1"/>
  <c r="F33" i="11"/>
  <c r="F82" i="11" s="1"/>
  <c r="E33" i="11"/>
  <c r="E82" i="11" s="1"/>
  <c r="D33" i="11"/>
  <c r="D82" i="11" s="1"/>
  <c r="C33" i="11"/>
  <c r="C82" i="11" s="1"/>
  <c r="O24" i="11"/>
  <c r="O73" i="11" s="1"/>
  <c r="O23" i="11"/>
  <c r="O72" i="11" s="1"/>
  <c r="O22" i="11"/>
  <c r="O71" i="11" s="1"/>
  <c r="N21" i="11"/>
  <c r="N70" i="11" s="1"/>
  <c r="M21" i="11"/>
  <c r="L21" i="11"/>
  <c r="L70" i="11" s="1"/>
  <c r="K21" i="11"/>
  <c r="K70" i="11" s="1"/>
  <c r="J21" i="11"/>
  <c r="J70" i="11" s="1"/>
  <c r="I21" i="11"/>
  <c r="H21" i="11"/>
  <c r="H70" i="11" s="1"/>
  <c r="G21" i="11"/>
  <c r="G70" i="11" s="1"/>
  <c r="F21" i="11"/>
  <c r="F70" i="11" s="1"/>
  <c r="E21" i="11"/>
  <c r="D21" i="11"/>
  <c r="D70" i="11" s="1"/>
  <c r="C21" i="11"/>
  <c r="C70" i="11" s="1"/>
  <c r="O20" i="11"/>
  <c r="O69" i="11" s="1"/>
  <c r="O19" i="11"/>
  <c r="O68" i="11" s="1"/>
  <c r="O18" i="11"/>
  <c r="O67" i="11" s="1"/>
  <c r="O17" i="11"/>
  <c r="O66" i="11" s="1"/>
  <c r="N16" i="11"/>
  <c r="M16" i="11"/>
  <c r="M65" i="11" s="1"/>
  <c r="L16" i="11"/>
  <c r="L65" i="11" s="1"/>
  <c r="K16" i="11"/>
  <c r="K65" i="11" s="1"/>
  <c r="J16" i="11"/>
  <c r="I16" i="11"/>
  <c r="I65" i="11" s="1"/>
  <c r="H16" i="11"/>
  <c r="H65" i="11" s="1"/>
  <c r="G16" i="11"/>
  <c r="G65" i="11" s="1"/>
  <c r="F16" i="11"/>
  <c r="E16" i="11"/>
  <c r="E65" i="11" s="1"/>
  <c r="D16" i="11"/>
  <c r="D65" i="11" s="1"/>
  <c r="C16" i="11"/>
  <c r="C65" i="11" s="1"/>
  <c r="M15" i="11"/>
  <c r="M64" i="11" s="1"/>
  <c r="L15" i="11"/>
  <c r="L64" i="11" s="1"/>
  <c r="K15" i="11"/>
  <c r="I15" i="11"/>
  <c r="I64" i="11" s="1"/>
  <c r="H15" i="11"/>
  <c r="H64" i="11" s="1"/>
  <c r="G15" i="11"/>
  <c r="E15" i="11"/>
  <c r="E64" i="11" s="1"/>
  <c r="D15" i="11"/>
  <c r="D64" i="11" s="1"/>
  <c r="C15" i="11"/>
  <c r="L14" i="11"/>
  <c r="L63" i="11" s="1"/>
  <c r="H14" i="11"/>
  <c r="H63" i="11" s="1"/>
  <c r="D14" i="11"/>
  <c r="D63" i="11" s="1"/>
  <c r="O13" i="11"/>
  <c r="O62" i="11" s="1"/>
  <c r="O12" i="11"/>
  <c r="O61" i="11" s="1"/>
  <c r="O11" i="11"/>
  <c r="O60" i="11" s="1"/>
  <c r="O10" i="11"/>
  <c r="O59" i="11" s="1"/>
  <c r="O9" i="11"/>
  <c r="O58" i="11" s="1"/>
  <c r="N8" i="11"/>
  <c r="M8" i="11"/>
  <c r="M57" i="11" s="1"/>
  <c r="L8" i="11"/>
  <c r="L57" i="11" s="1"/>
  <c r="K8" i="11"/>
  <c r="K57" i="11" s="1"/>
  <c r="J8" i="11"/>
  <c r="I8" i="11"/>
  <c r="I25" i="11" s="1"/>
  <c r="I74" i="11" s="1"/>
  <c r="H8" i="11"/>
  <c r="H57" i="11" s="1"/>
  <c r="G8" i="11"/>
  <c r="G57" i="11" s="1"/>
  <c r="F8" i="11"/>
  <c r="E8" i="11"/>
  <c r="E57" i="11" s="1"/>
  <c r="D8" i="11"/>
  <c r="D57" i="11" s="1"/>
  <c r="C8" i="11"/>
  <c r="C57" i="11" s="1"/>
  <c r="M7" i="11"/>
  <c r="M56" i="11" s="1"/>
  <c r="L7" i="11"/>
  <c r="L56" i="11" s="1"/>
  <c r="K7" i="11"/>
  <c r="K56" i="11" s="1"/>
  <c r="I7" i="11"/>
  <c r="I56" i="11" s="1"/>
  <c r="H7" i="11"/>
  <c r="H56" i="11" s="1"/>
  <c r="G7" i="11"/>
  <c r="G56" i="11" s="1"/>
  <c r="E7" i="11"/>
  <c r="E56" i="11" s="1"/>
  <c r="D7" i="11"/>
  <c r="D56" i="11" s="1"/>
  <c r="C7" i="11"/>
  <c r="C56" i="11" s="1"/>
  <c r="N98" i="10"/>
  <c r="M98" i="10"/>
  <c r="L98" i="10"/>
  <c r="K98" i="10"/>
  <c r="J98" i="10"/>
  <c r="I98" i="10"/>
  <c r="H98" i="10"/>
  <c r="G98" i="10"/>
  <c r="F98" i="10"/>
  <c r="E98" i="10"/>
  <c r="D98" i="10"/>
  <c r="C98" i="10"/>
  <c r="N92" i="10"/>
  <c r="M92" i="10"/>
  <c r="L92" i="10"/>
  <c r="K92" i="10"/>
  <c r="J92" i="10"/>
  <c r="I92" i="10"/>
  <c r="H92" i="10"/>
  <c r="G92" i="10"/>
  <c r="F92" i="10"/>
  <c r="E92" i="10"/>
  <c r="D92" i="10"/>
  <c r="C92" i="10"/>
  <c r="N91" i="10"/>
  <c r="M91" i="10"/>
  <c r="L91" i="10"/>
  <c r="K91" i="10"/>
  <c r="J91" i="10"/>
  <c r="I91" i="10"/>
  <c r="H91" i="10"/>
  <c r="G91" i="10"/>
  <c r="F91" i="10"/>
  <c r="E91" i="10"/>
  <c r="D91" i="10"/>
  <c r="C91" i="10"/>
  <c r="N90" i="10"/>
  <c r="M90" i="10"/>
  <c r="L90" i="10"/>
  <c r="K90" i="10"/>
  <c r="J90" i="10"/>
  <c r="I90" i="10"/>
  <c r="H90" i="10"/>
  <c r="G90" i="10"/>
  <c r="F90" i="10"/>
  <c r="E90" i="10"/>
  <c r="D90" i="10"/>
  <c r="C90" i="10"/>
  <c r="N89" i="10"/>
  <c r="M89" i="10"/>
  <c r="L89" i="10"/>
  <c r="K89" i="10"/>
  <c r="J89" i="10"/>
  <c r="I89" i="10"/>
  <c r="H89" i="10"/>
  <c r="G89" i="10"/>
  <c r="F89" i="10"/>
  <c r="E89" i="10"/>
  <c r="D89" i="10"/>
  <c r="C89" i="10"/>
  <c r="N88" i="10"/>
  <c r="M88" i="10"/>
  <c r="L88" i="10"/>
  <c r="K88" i="10"/>
  <c r="J88" i="10"/>
  <c r="I88" i="10"/>
  <c r="H88" i="10"/>
  <c r="G88" i="10"/>
  <c r="F88" i="10"/>
  <c r="E88" i="10"/>
  <c r="D88" i="10"/>
  <c r="C88" i="10"/>
  <c r="N87" i="10"/>
  <c r="M87" i="10"/>
  <c r="L87" i="10"/>
  <c r="K87" i="10"/>
  <c r="J87" i="10"/>
  <c r="I87" i="10"/>
  <c r="H87" i="10"/>
  <c r="G87" i="10"/>
  <c r="F87" i="10"/>
  <c r="E87" i="10"/>
  <c r="D87" i="10"/>
  <c r="C87" i="10"/>
  <c r="N86" i="10"/>
  <c r="M86" i="10"/>
  <c r="L86" i="10"/>
  <c r="K86" i="10"/>
  <c r="J86" i="10"/>
  <c r="I86" i="10"/>
  <c r="H86" i="10"/>
  <c r="G86" i="10"/>
  <c r="F86" i="10"/>
  <c r="E86" i="10"/>
  <c r="D86" i="10"/>
  <c r="C86" i="10"/>
  <c r="N84" i="10"/>
  <c r="M84" i="10"/>
  <c r="L84" i="10"/>
  <c r="K84" i="10"/>
  <c r="J84" i="10"/>
  <c r="I84" i="10"/>
  <c r="H84" i="10"/>
  <c r="G84" i="10"/>
  <c r="F84" i="10"/>
  <c r="E84" i="10"/>
  <c r="D84" i="10"/>
  <c r="C84" i="10"/>
  <c r="N83" i="10"/>
  <c r="M83" i="10"/>
  <c r="L83" i="10"/>
  <c r="K83" i="10"/>
  <c r="J83" i="10"/>
  <c r="I83" i="10"/>
  <c r="H83" i="10"/>
  <c r="G83" i="10"/>
  <c r="F83" i="10"/>
  <c r="E83" i="10"/>
  <c r="D83" i="10"/>
  <c r="C83" i="10"/>
  <c r="N73" i="10"/>
  <c r="M73" i="10"/>
  <c r="L73" i="10"/>
  <c r="K73" i="10"/>
  <c r="J73" i="10"/>
  <c r="I73" i="10"/>
  <c r="H73" i="10"/>
  <c r="G73" i="10"/>
  <c r="F73" i="10"/>
  <c r="E73" i="10"/>
  <c r="D73" i="10"/>
  <c r="C73" i="10"/>
  <c r="N72" i="10"/>
  <c r="M72" i="10"/>
  <c r="L72" i="10"/>
  <c r="K72" i="10"/>
  <c r="J72" i="10"/>
  <c r="I72" i="10"/>
  <c r="H72" i="10"/>
  <c r="G72" i="10"/>
  <c r="F72" i="10"/>
  <c r="E72" i="10"/>
  <c r="D72" i="10"/>
  <c r="C72" i="10"/>
  <c r="N71" i="10"/>
  <c r="M71" i="10"/>
  <c r="L71" i="10"/>
  <c r="K71" i="10"/>
  <c r="J71" i="10"/>
  <c r="I71" i="10"/>
  <c r="H71" i="10"/>
  <c r="G71" i="10"/>
  <c r="F71" i="10"/>
  <c r="E71" i="10"/>
  <c r="D71" i="10"/>
  <c r="C71" i="10"/>
  <c r="N69" i="10"/>
  <c r="M69" i="10"/>
  <c r="L69" i="10"/>
  <c r="K69" i="10"/>
  <c r="J69" i="10"/>
  <c r="I69" i="10"/>
  <c r="H69" i="10"/>
  <c r="G69" i="10"/>
  <c r="F69" i="10"/>
  <c r="E69" i="10"/>
  <c r="D69" i="10"/>
  <c r="C69" i="10"/>
  <c r="N68" i="10"/>
  <c r="M68" i="10"/>
  <c r="L68" i="10"/>
  <c r="K68" i="10"/>
  <c r="J68" i="10"/>
  <c r="I68" i="10"/>
  <c r="H68" i="10"/>
  <c r="G68" i="10"/>
  <c r="F68" i="10"/>
  <c r="E68" i="10"/>
  <c r="D68" i="10"/>
  <c r="C68" i="10"/>
  <c r="N67" i="10"/>
  <c r="M67" i="10"/>
  <c r="L67" i="10"/>
  <c r="K67" i="10"/>
  <c r="J67" i="10"/>
  <c r="I67" i="10"/>
  <c r="H67" i="10"/>
  <c r="G67" i="10"/>
  <c r="F67" i="10"/>
  <c r="E67" i="10"/>
  <c r="D67" i="10"/>
  <c r="C67" i="10"/>
  <c r="N66" i="10"/>
  <c r="M66" i="10"/>
  <c r="L66" i="10"/>
  <c r="K66" i="10"/>
  <c r="J66" i="10"/>
  <c r="I66" i="10"/>
  <c r="H66" i="10"/>
  <c r="G66" i="10"/>
  <c r="F66" i="10"/>
  <c r="E66" i="10"/>
  <c r="D66" i="10"/>
  <c r="C66" i="10"/>
  <c r="M65" i="10"/>
  <c r="N62" i="10"/>
  <c r="M62" i="10"/>
  <c r="L62" i="10"/>
  <c r="K62" i="10"/>
  <c r="J62" i="10"/>
  <c r="I62" i="10"/>
  <c r="H62" i="10"/>
  <c r="G62" i="10"/>
  <c r="F62" i="10"/>
  <c r="E62" i="10"/>
  <c r="D62" i="10"/>
  <c r="C62" i="10"/>
  <c r="N61" i="10"/>
  <c r="M61" i="10"/>
  <c r="L61" i="10"/>
  <c r="K61" i="10"/>
  <c r="J61" i="10"/>
  <c r="I61" i="10"/>
  <c r="H61" i="10"/>
  <c r="G61" i="10"/>
  <c r="F61" i="10"/>
  <c r="E61" i="10"/>
  <c r="D61" i="10"/>
  <c r="C61" i="10"/>
  <c r="N60" i="10"/>
  <c r="M60" i="10"/>
  <c r="L60" i="10"/>
  <c r="K60" i="10"/>
  <c r="J60" i="10"/>
  <c r="I60" i="10"/>
  <c r="H60" i="10"/>
  <c r="G60" i="10"/>
  <c r="F60" i="10"/>
  <c r="E60" i="10"/>
  <c r="D60" i="10"/>
  <c r="C60" i="10"/>
  <c r="N59" i="10"/>
  <c r="M59" i="10"/>
  <c r="L59" i="10"/>
  <c r="K59" i="10"/>
  <c r="J59" i="10"/>
  <c r="I59" i="10"/>
  <c r="H59" i="10"/>
  <c r="G59" i="10"/>
  <c r="F59" i="10"/>
  <c r="E59" i="10"/>
  <c r="D59" i="10"/>
  <c r="C59" i="10"/>
  <c r="N58" i="10"/>
  <c r="M58" i="10"/>
  <c r="L58" i="10"/>
  <c r="K58" i="10"/>
  <c r="J58" i="10"/>
  <c r="I58" i="10"/>
  <c r="H58" i="10"/>
  <c r="G58" i="10"/>
  <c r="F58" i="10"/>
  <c r="E58" i="10"/>
  <c r="D58" i="10"/>
  <c r="C58" i="10"/>
  <c r="O49" i="10"/>
  <c r="O98" i="10" s="1"/>
  <c r="O43" i="10"/>
  <c r="O92" i="10" s="1"/>
  <c r="O42" i="10"/>
  <c r="O91" i="10" s="1"/>
  <c r="O41" i="10"/>
  <c r="O90" i="10" s="1"/>
  <c r="O40" i="10"/>
  <c r="O89" i="10" s="1"/>
  <c r="O39" i="10"/>
  <c r="O88" i="10" s="1"/>
  <c r="O38" i="10"/>
  <c r="O87" i="10" s="1"/>
  <c r="O37" i="10"/>
  <c r="O86" i="10" s="1"/>
  <c r="N36" i="10"/>
  <c r="N85" i="10" s="1"/>
  <c r="M36" i="10"/>
  <c r="M85" i="10" s="1"/>
  <c r="L36" i="10"/>
  <c r="L85" i="10" s="1"/>
  <c r="K36" i="10"/>
  <c r="K85" i="10" s="1"/>
  <c r="J36" i="10"/>
  <c r="J85" i="10" s="1"/>
  <c r="I36" i="10"/>
  <c r="I85" i="10" s="1"/>
  <c r="H36" i="10"/>
  <c r="H85" i="10" s="1"/>
  <c r="G36" i="10"/>
  <c r="G85" i="10" s="1"/>
  <c r="F36" i="10"/>
  <c r="F85" i="10" s="1"/>
  <c r="E36" i="10"/>
  <c r="E85" i="10" s="1"/>
  <c r="D36" i="10"/>
  <c r="D85" i="10" s="1"/>
  <c r="C36" i="10"/>
  <c r="C85" i="10" s="1"/>
  <c r="O35" i="10"/>
  <c r="O84" i="10" s="1"/>
  <c r="O34" i="10"/>
  <c r="O83" i="10" s="1"/>
  <c r="N33" i="10"/>
  <c r="N82" i="10" s="1"/>
  <c r="M33" i="10"/>
  <c r="M82" i="10" s="1"/>
  <c r="L33" i="10"/>
  <c r="L82" i="10" s="1"/>
  <c r="K33" i="10"/>
  <c r="K82" i="10" s="1"/>
  <c r="J33" i="10"/>
  <c r="J82" i="10" s="1"/>
  <c r="I33" i="10"/>
  <c r="I82" i="10" s="1"/>
  <c r="H33" i="10"/>
  <c r="H82" i="10" s="1"/>
  <c r="G33" i="10"/>
  <c r="G82" i="10" s="1"/>
  <c r="F33" i="10"/>
  <c r="F82" i="10" s="1"/>
  <c r="E33" i="10"/>
  <c r="E82" i="10" s="1"/>
  <c r="D33" i="10"/>
  <c r="D82" i="10" s="1"/>
  <c r="C33" i="10"/>
  <c r="C82" i="10" s="1"/>
  <c r="O24" i="10"/>
  <c r="O73" i="10" s="1"/>
  <c r="O23" i="10"/>
  <c r="O72" i="10" s="1"/>
  <c r="O22" i="10"/>
  <c r="O71" i="10" s="1"/>
  <c r="N21" i="10"/>
  <c r="N70" i="10" s="1"/>
  <c r="M21" i="10"/>
  <c r="L21" i="10"/>
  <c r="L70" i="10" s="1"/>
  <c r="K21" i="10"/>
  <c r="K70" i="10" s="1"/>
  <c r="J21" i="10"/>
  <c r="J70" i="10" s="1"/>
  <c r="I21" i="10"/>
  <c r="H21" i="10"/>
  <c r="H70" i="10" s="1"/>
  <c r="G21" i="10"/>
  <c r="G70" i="10" s="1"/>
  <c r="F21" i="10"/>
  <c r="F70" i="10" s="1"/>
  <c r="E21" i="10"/>
  <c r="D21" i="10"/>
  <c r="D70" i="10" s="1"/>
  <c r="C21" i="10"/>
  <c r="C70" i="10" s="1"/>
  <c r="O20" i="10"/>
  <c r="O69" i="10" s="1"/>
  <c r="O19" i="10"/>
  <c r="O68" i="10" s="1"/>
  <c r="O18" i="10"/>
  <c r="O67" i="10" s="1"/>
  <c r="O17" i="10"/>
  <c r="O66" i="10" s="1"/>
  <c r="N16" i="10"/>
  <c r="M16" i="10"/>
  <c r="L16" i="10"/>
  <c r="L65" i="10" s="1"/>
  <c r="K16" i="10"/>
  <c r="K65" i="10" s="1"/>
  <c r="J16" i="10"/>
  <c r="I16" i="10"/>
  <c r="I65" i="10" s="1"/>
  <c r="H16" i="10"/>
  <c r="H65" i="10" s="1"/>
  <c r="G16" i="10"/>
  <c r="G65" i="10" s="1"/>
  <c r="F16" i="10"/>
  <c r="E16" i="10"/>
  <c r="E65" i="10" s="1"/>
  <c r="D16" i="10"/>
  <c r="D65" i="10" s="1"/>
  <c r="C16" i="10"/>
  <c r="C65" i="10" s="1"/>
  <c r="M15" i="10"/>
  <c r="M64" i="10" s="1"/>
  <c r="K15" i="10"/>
  <c r="I15" i="10"/>
  <c r="I64" i="10" s="1"/>
  <c r="G15" i="10"/>
  <c r="E15" i="10"/>
  <c r="E64" i="10" s="1"/>
  <c r="C15" i="10"/>
  <c r="O13" i="10"/>
  <c r="O62" i="10" s="1"/>
  <c r="O12" i="10"/>
  <c r="O61" i="10" s="1"/>
  <c r="O11" i="10"/>
  <c r="O60" i="10" s="1"/>
  <c r="O10" i="10"/>
  <c r="O59" i="10" s="1"/>
  <c r="O9" i="10"/>
  <c r="O58" i="10" s="1"/>
  <c r="N8" i="10"/>
  <c r="M8" i="10"/>
  <c r="M57" i="10" s="1"/>
  <c r="L8" i="10"/>
  <c r="L57" i="10" s="1"/>
  <c r="K8" i="10"/>
  <c r="K57" i="10" s="1"/>
  <c r="J8" i="10"/>
  <c r="I8" i="10"/>
  <c r="I7" i="10" s="1"/>
  <c r="I56" i="10" s="1"/>
  <c r="H8" i="10"/>
  <c r="H57" i="10" s="1"/>
  <c r="G8" i="10"/>
  <c r="G57" i="10" s="1"/>
  <c r="F8" i="10"/>
  <c r="E8" i="10"/>
  <c r="E25" i="10" s="1"/>
  <c r="E74" i="10" s="1"/>
  <c r="D8" i="10"/>
  <c r="D57" i="10" s="1"/>
  <c r="C8" i="10"/>
  <c r="C57" i="10" s="1"/>
  <c r="L7" i="10"/>
  <c r="L56" i="10" s="1"/>
  <c r="K7" i="10"/>
  <c r="K56" i="10" s="1"/>
  <c r="H7" i="10"/>
  <c r="H56" i="10" s="1"/>
  <c r="G7" i="10"/>
  <c r="G56" i="10" s="1"/>
  <c r="D7" i="10"/>
  <c r="D56" i="10" s="1"/>
  <c r="C7" i="10"/>
  <c r="C56" i="10" s="1"/>
  <c r="N98" i="9"/>
  <c r="M98" i="9"/>
  <c r="L98" i="9"/>
  <c r="K98" i="9"/>
  <c r="J98" i="9"/>
  <c r="I98" i="9"/>
  <c r="H98" i="9"/>
  <c r="G98" i="9"/>
  <c r="F98" i="9"/>
  <c r="E98" i="9"/>
  <c r="D98" i="9"/>
  <c r="C98" i="9"/>
  <c r="N92" i="9"/>
  <c r="M92" i="9"/>
  <c r="L92" i="9"/>
  <c r="K92" i="9"/>
  <c r="J92" i="9"/>
  <c r="I92" i="9"/>
  <c r="H92" i="9"/>
  <c r="G92" i="9"/>
  <c r="F92" i="9"/>
  <c r="E92" i="9"/>
  <c r="D92" i="9"/>
  <c r="C92" i="9"/>
  <c r="N91" i="9"/>
  <c r="M91" i="9"/>
  <c r="L91" i="9"/>
  <c r="K91" i="9"/>
  <c r="J91" i="9"/>
  <c r="I91" i="9"/>
  <c r="H91" i="9"/>
  <c r="G91" i="9"/>
  <c r="F91" i="9"/>
  <c r="E91" i="9"/>
  <c r="D91" i="9"/>
  <c r="C91" i="9"/>
  <c r="N90" i="9"/>
  <c r="M90" i="9"/>
  <c r="L90" i="9"/>
  <c r="K90" i="9"/>
  <c r="J90" i="9"/>
  <c r="I90" i="9"/>
  <c r="H90" i="9"/>
  <c r="G90" i="9"/>
  <c r="F90" i="9"/>
  <c r="E90" i="9"/>
  <c r="D90" i="9"/>
  <c r="C90" i="9"/>
  <c r="N89" i="9"/>
  <c r="M89" i="9"/>
  <c r="L89" i="9"/>
  <c r="K89" i="9"/>
  <c r="J89" i="9"/>
  <c r="I89" i="9"/>
  <c r="H89" i="9"/>
  <c r="G89" i="9"/>
  <c r="F89" i="9"/>
  <c r="E89" i="9"/>
  <c r="D89" i="9"/>
  <c r="C89" i="9"/>
  <c r="N88" i="9"/>
  <c r="M88" i="9"/>
  <c r="L88" i="9"/>
  <c r="K88" i="9"/>
  <c r="J88" i="9"/>
  <c r="I88" i="9"/>
  <c r="H88" i="9"/>
  <c r="G88" i="9"/>
  <c r="F88" i="9"/>
  <c r="E88" i="9"/>
  <c r="D88" i="9"/>
  <c r="C88" i="9"/>
  <c r="N87" i="9"/>
  <c r="M87" i="9"/>
  <c r="L87" i="9"/>
  <c r="K87" i="9"/>
  <c r="J87" i="9"/>
  <c r="I87" i="9"/>
  <c r="H87" i="9"/>
  <c r="G87" i="9"/>
  <c r="F87" i="9"/>
  <c r="E87" i="9"/>
  <c r="D87" i="9"/>
  <c r="C87" i="9"/>
  <c r="N86" i="9"/>
  <c r="M86" i="9"/>
  <c r="L86" i="9"/>
  <c r="K86" i="9"/>
  <c r="J86" i="9"/>
  <c r="I86" i="9"/>
  <c r="H86" i="9"/>
  <c r="G86" i="9"/>
  <c r="F86" i="9"/>
  <c r="E86" i="9"/>
  <c r="D86" i="9"/>
  <c r="C86" i="9"/>
  <c r="N84" i="9"/>
  <c r="M84" i="9"/>
  <c r="L84" i="9"/>
  <c r="K84" i="9"/>
  <c r="J84" i="9"/>
  <c r="I84" i="9"/>
  <c r="H84" i="9"/>
  <c r="G84" i="9"/>
  <c r="F84" i="9"/>
  <c r="E84" i="9"/>
  <c r="D84" i="9"/>
  <c r="C84" i="9"/>
  <c r="N83" i="9"/>
  <c r="M83" i="9"/>
  <c r="L83" i="9"/>
  <c r="K83" i="9"/>
  <c r="J83" i="9"/>
  <c r="I83" i="9"/>
  <c r="H83" i="9"/>
  <c r="G83" i="9"/>
  <c r="F83" i="9"/>
  <c r="E83" i="9"/>
  <c r="D83" i="9"/>
  <c r="C83" i="9"/>
  <c r="N73" i="9"/>
  <c r="M73" i="9"/>
  <c r="L73" i="9"/>
  <c r="K73" i="9"/>
  <c r="J73" i="9"/>
  <c r="I73" i="9"/>
  <c r="H73" i="9"/>
  <c r="G73" i="9"/>
  <c r="F73" i="9"/>
  <c r="E73" i="9"/>
  <c r="D73" i="9"/>
  <c r="C73" i="9"/>
  <c r="N72" i="9"/>
  <c r="M72" i="9"/>
  <c r="L72" i="9"/>
  <c r="K72" i="9"/>
  <c r="J72" i="9"/>
  <c r="I72" i="9"/>
  <c r="H72" i="9"/>
  <c r="G72" i="9"/>
  <c r="F72" i="9"/>
  <c r="E72" i="9"/>
  <c r="D72" i="9"/>
  <c r="C72" i="9"/>
  <c r="N71" i="9"/>
  <c r="M71" i="9"/>
  <c r="L71" i="9"/>
  <c r="K71" i="9"/>
  <c r="J71" i="9"/>
  <c r="I71" i="9"/>
  <c r="H71" i="9"/>
  <c r="G71" i="9"/>
  <c r="F71" i="9"/>
  <c r="E71" i="9"/>
  <c r="D71" i="9"/>
  <c r="C71" i="9"/>
  <c r="N69" i="9"/>
  <c r="M69" i="9"/>
  <c r="L69" i="9"/>
  <c r="K69" i="9"/>
  <c r="J69" i="9"/>
  <c r="I69" i="9"/>
  <c r="H69" i="9"/>
  <c r="G69" i="9"/>
  <c r="F69" i="9"/>
  <c r="E69" i="9"/>
  <c r="D69" i="9"/>
  <c r="C69" i="9"/>
  <c r="N68" i="9"/>
  <c r="M68" i="9"/>
  <c r="L68" i="9"/>
  <c r="K68" i="9"/>
  <c r="J68" i="9"/>
  <c r="I68" i="9"/>
  <c r="H68" i="9"/>
  <c r="G68" i="9"/>
  <c r="F68" i="9"/>
  <c r="E68" i="9"/>
  <c r="D68" i="9"/>
  <c r="C68" i="9"/>
  <c r="N67" i="9"/>
  <c r="M67" i="9"/>
  <c r="L67" i="9"/>
  <c r="K67" i="9"/>
  <c r="J67" i="9"/>
  <c r="I67" i="9"/>
  <c r="H67" i="9"/>
  <c r="G67" i="9"/>
  <c r="F67" i="9"/>
  <c r="E67" i="9"/>
  <c r="D67" i="9"/>
  <c r="C67" i="9"/>
  <c r="N66" i="9"/>
  <c r="M66" i="9"/>
  <c r="L66" i="9"/>
  <c r="K66" i="9"/>
  <c r="J66" i="9"/>
  <c r="I66" i="9"/>
  <c r="H66" i="9"/>
  <c r="G66" i="9"/>
  <c r="F66" i="9"/>
  <c r="E66" i="9"/>
  <c r="D66" i="9"/>
  <c r="C66" i="9"/>
  <c r="N62" i="9"/>
  <c r="M62" i="9"/>
  <c r="L62" i="9"/>
  <c r="K62" i="9"/>
  <c r="J62" i="9"/>
  <c r="I62" i="9"/>
  <c r="H62" i="9"/>
  <c r="G62" i="9"/>
  <c r="F62" i="9"/>
  <c r="E62" i="9"/>
  <c r="D62" i="9"/>
  <c r="C62" i="9"/>
  <c r="N61" i="9"/>
  <c r="M61" i="9"/>
  <c r="L61" i="9"/>
  <c r="K61" i="9"/>
  <c r="J61" i="9"/>
  <c r="I61" i="9"/>
  <c r="H61" i="9"/>
  <c r="G61" i="9"/>
  <c r="F61" i="9"/>
  <c r="E61" i="9"/>
  <c r="D61" i="9"/>
  <c r="C61" i="9"/>
  <c r="N60" i="9"/>
  <c r="M60" i="9"/>
  <c r="L60" i="9"/>
  <c r="K60" i="9"/>
  <c r="J60" i="9"/>
  <c r="I60" i="9"/>
  <c r="H60" i="9"/>
  <c r="G60" i="9"/>
  <c r="F60" i="9"/>
  <c r="E60" i="9"/>
  <c r="D60" i="9"/>
  <c r="C60" i="9"/>
  <c r="N59" i="9"/>
  <c r="M59" i="9"/>
  <c r="L59" i="9"/>
  <c r="K59" i="9"/>
  <c r="J59" i="9"/>
  <c r="I59" i="9"/>
  <c r="H59" i="9"/>
  <c r="G59" i="9"/>
  <c r="F59" i="9"/>
  <c r="E59" i="9"/>
  <c r="D59" i="9"/>
  <c r="C59" i="9"/>
  <c r="N58" i="9"/>
  <c r="M58" i="9"/>
  <c r="L58" i="9"/>
  <c r="K58" i="9"/>
  <c r="J58" i="9"/>
  <c r="I58" i="9"/>
  <c r="H58" i="9"/>
  <c r="G58" i="9"/>
  <c r="F58" i="9"/>
  <c r="E58" i="9"/>
  <c r="D58" i="9"/>
  <c r="C58" i="9"/>
  <c r="O49" i="9"/>
  <c r="O98" i="9" s="1"/>
  <c r="O43" i="9"/>
  <c r="O92" i="9" s="1"/>
  <c r="O42" i="9"/>
  <c r="O91" i="9" s="1"/>
  <c r="O41" i="9"/>
  <c r="O90" i="9" s="1"/>
  <c r="O40" i="9"/>
  <c r="O89" i="9" s="1"/>
  <c r="O39" i="9"/>
  <c r="O88" i="9" s="1"/>
  <c r="O38" i="9"/>
  <c r="O87" i="9" s="1"/>
  <c r="O37" i="9"/>
  <c r="O86" i="9" s="1"/>
  <c r="N36" i="9"/>
  <c r="N85" i="9" s="1"/>
  <c r="M36" i="9"/>
  <c r="M85" i="9" s="1"/>
  <c r="L36" i="9"/>
  <c r="L85" i="9" s="1"/>
  <c r="K36" i="9"/>
  <c r="K85" i="9" s="1"/>
  <c r="J36" i="9"/>
  <c r="J85" i="9" s="1"/>
  <c r="I36" i="9"/>
  <c r="I85" i="9" s="1"/>
  <c r="H36" i="9"/>
  <c r="H85" i="9" s="1"/>
  <c r="G36" i="9"/>
  <c r="G85" i="9" s="1"/>
  <c r="F36" i="9"/>
  <c r="F85" i="9" s="1"/>
  <c r="E36" i="9"/>
  <c r="E85" i="9" s="1"/>
  <c r="D36" i="9"/>
  <c r="D85" i="9" s="1"/>
  <c r="C36" i="9"/>
  <c r="C85" i="9" s="1"/>
  <c r="O35" i="9"/>
  <c r="O84" i="9" s="1"/>
  <c r="O34" i="9"/>
  <c r="O83" i="9" s="1"/>
  <c r="N33" i="9"/>
  <c r="N82" i="9" s="1"/>
  <c r="M33" i="9"/>
  <c r="M82" i="9" s="1"/>
  <c r="L33" i="9"/>
  <c r="L82" i="9" s="1"/>
  <c r="K33" i="9"/>
  <c r="K82" i="9" s="1"/>
  <c r="J33" i="9"/>
  <c r="J82" i="9" s="1"/>
  <c r="I33" i="9"/>
  <c r="I82" i="9" s="1"/>
  <c r="H33" i="9"/>
  <c r="H82" i="9" s="1"/>
  <c r="G33" i="9"/>
  <c r="G82" i="9" s="1"/>
  <c r="F33" i="9"/>
  <c r="F82" i="9" s="1"/>
  <c r="E33" i="9"/>
  <c r="E82" i="9" s="1"/>
  <c r="D33" i="9"/>
  <c r="D82" i="9" s="1"/>
  <c r="C33" i="9"/>
  <c r="C82" i="9" s="1"/>
  <c r="O24" i="9"/>
  <c r="O73" i="9" s="1"/>
  <c r="O23" i="9"/>
  <c r="O72" i="9" s="1"/>
  <c r="O22" i="9"/>
  <c r="O71" i="9" s="1"/>
  <c r="N21" i="9"/>
  <c r="N70" i="9" s="1"/>
  <c r="M21" i="9"/>
  <c r="M70" i="9" s="1"/>
  <c r="L21" i="9"/>
  <c r="K21" i="9"/>
  <c r="K70" i="9" s="1"/>
  <c r="J21" i="9"/>
  <c r="J70" i="9" s="1"/>
  <c r="I21" i="9"/>
  <c r="I70" i="9" s="1"/>
  <c r="H21" i="9"/>
  <c r="G21" i="9"/>
  <c r="G70" i="9" s="1"/>
  <c r="F21" i="9"/>
  <c r="F70" i="9" s="1"/>
  <c r="E21" i="9"/>
  <c r="E70" i="9" s="1"/>
  <c r="D21" i="9"/>
  <c r="C21" i="9"/>
  <c r="C70" i="9" s="1"/>
  <c r="O20" i="9"/>
  <c r="O69" i="9" s="1"/>
  <c r="O19" i="9"/>
  <c r="O68" i="9" s="1"/>
  <c r="O18" i="9"/>
  <c r="O67" i="9" s="1"/>
  <c r="O17" i="9"/>
  <c r="O66" i="9" s="1"/>
  <c r="N16" i="9"/>
  <c r="N65" i="9" s="1"/>
  <c r="M16" i="9"/>
  <c r="M15" i="9" s="1"/>
  <c r="L16" i="9"/>
  <c r="L65" i="9" s="1"/>
  <c r="K16" i="9"/>
  <c r="K65" i="9" s="1"/>
  <c r="J16" i="9"/>
  <c r="J65" i="9" s="1"/>
  <c r="I16" i="9"/>
  <c r="I15" i="9" s="1"/>
  <c r="H16" i="9"/>
  <c r="H65" i="9" s="1"/>
  <c r="G16" i="9"/>
  <c r="G65" i="9" s="1"/>
  <c r="F16" i="9"/>
  <c r="F65" i="9" s="1"/>
  <c r="E16" i="9"/>
  <c r="E15" i="9" s="1"/>
  <c r="D16" i="9"/>
  <c r="D65" i="9" s="1"/>
  <c r="C16" i="9"/>
  <c r="C65" i="9" s="1"/>
  <c r="N15" i="9"/>
  <c r="N14" i="9" s="1"/>
  <c r="N63" i="9" s="1"/>
  <c r="L15" i="9"/>
  <c r="L64" i="9" s="1"/>
  <c r="J15" i="9"/>
  <c r="J14" i="9" s="1"/>
  <c r="J63" i="9" s="1"/>
  <c r="H15" i="9"/>
  <c r="H64" i="9" s="1"/>
  <c r="D15" i="9"/>
  <c r="D64" i="9" s="1"/>
  <c r="O13" i="9"/>
  <c r="O62" i="9" s="1"/>
  <c r="O12" i="9"/>
  <c r="O61" i="9" s="1"/>
  <c r="O11" i="9"/>
  <c r="O60" i="9" s="1"/>
  <c r="O10" i="9"/>
  <c r="O59" i="9" s="1"/>
  <c r="O9" i="9"/>
  <c r="O58" i="9" s="1"/>
  <c r="N8" i="9"/>
  <c r="M8" i="9"/>
  <c r="M57" i="9" s="1"/>
  <c r="L8" i="9"/>
  <c r="L57" i="9" s="1"/>
  <c r="K8" i="9"/>
  <c r="J8" i="9"/>
  <c r="I8" i="9"/>
  <c r="H8" i="9"/>
  <c r="H57" i="9" s="1"/>
  <c r="G8" i="9"/>
  <c r="F8" i="9"/>
  <c r="E8" i="9"/>
  <c r="D8" i="9"/>
  <c r="D57" i="9" s="1"/>
  <c r="C8" i="9"/>
  <c r="C7" i="9" s="1"/>
  <c r="C56" i="9" s="1"/>
  <c r="N7" i="9"/>
  <c r="K7" i="9"/>
  <c r="K56" i="9" s="1"/>
  <c r="J7" i="9"/>
  <c r="J56" i="9" s="1"/>
  <c r="F7" i="9"/>
  <c r="F56" i="9" s="1"/>
  <c r="N94" i="8"/>
  <c r="M94" i="8"/>
  <c r="L94" i="8"/>
  <c r="K94" i="8"/>
  <c r="J94" i="8"/>
  <c r="I94" i="8"/>
  <c r="H94" i="8"/>
  <c r="G94" i="8"/>
  <c r="F94" i="8"/>
  <c r="E94" i="8"/>
  <c r="D94" i="8"/>
  <c r="C94" i="8"/>
  <c r="N88" i="8"/>
  <c r="M88" i="8"/>
  <c r="L88" i="8"/>
  <c r="K88" i="8"/>
  <c r="J88" i="8"/>
  <c r="I88" i="8"/>
  <c r="H88" i="8"/>
  <c r="G88" i="8"/>
  <c r="F88" i="8"/>
  <c r="E88" i="8"/>
  <c r="D88" i="8"/>
  <c r="C88" i="8"/>
  <c r="N87" i="8"/>
  <c r="M87" i="8"/>
  <c r="L87" i="8"/>
  <c r="K87" i="8"/>
  <c r="J87" i="8"/>
  <c r="I87" i="8"/>
  <c r="H87" i="8"/>
  <c r="G87" i="8"/>
  <c r="F87" i="8"/>
  <c r="E87" i="8"/>
  <c r="D87" i="8"/>
  <c r="C87" i="8"/>
  <c r="N86" i="8"/>
  <c r="M86" i="8"/>
  <c r="L86" i="8"/>
  <c r="K86" i="8"/>
  <c r="J86" i="8"/>
  <c r="I86" i="8"/>
  <c r="H86" i="8"/>
  <c r="G86" i="8"/>
  <c r="F86" i="8"/>
  <c r="E86" i="8"/>
  <c r="D86" i="8"/>
  <c r="C86" i="8"/>
  <c r="N85" i="8"/>
  <c r="M85" i="8"/>
  <c r="L85" i="8"/>
  <c r="K85" i="8"/>
  <c r="J85" i="8"/>
  <c r="I85" i="8"/>
  <c r="H85" i="8"/>
  <c r="G85" i="8"/>
  <c r="F85" i="8"/>
  <c r="E85" i="8"/>
  <c r="D85" i="8"/>
  <c r="C85" i="8"/>
  <c r="N84" i="8"/>
  <c r="M84" i="8"/>
  <c r="L84" i="8"/>
  <c r="K84" i="8"/>
  <c r="J84" i="8"/>
  <c r="I84" i="8"/>
  <c r="H84" i="8"/>
  <c r="G84" i="8"/>
  <c r="F84" i="8"/>
  <c r="E84" i="8"/>
  <c r="D84" i="8"/>
  <c r="C84" i="8"/>
  <c r="N83" i="8"/>
  <c r="M83" i="8"/>
  <c r="L83" i="8"/>
  <c r="K83" i="8"/>
  <c r="J83" i="8"/>
  <c r="I83" i="8"/>
  <c r="H83" i="8"/>
  <c r="G83" i="8"/>
  <c r="F83" i="8"/>
  <c r="E83" i="8"/>
  <c r="D83" i="8"/>
  <c r="C83" i="8"/>
  <c r="N82" i="8"/>
  <c r="M82" i="8"/>
  <c r="L82" i="8"/>
  <c r="K82" i="8"/>
  <c r="J82" i="8"/>
  <c r="I82" i="8"/>
  <c r="H82" i="8"/>
  <c r="G82" i="8"/>
  <c r="F82" i="8"/>
  <c r="E82" i="8"/>
  <c r="D82" i="8"/>
  <c r="C82" i="8"/>
  <c r="N80" i="8"/>
  <c r="M80" i="8"/>
  <c r="L80" i="8"/>
  <c r="K80" i="8"/>
  <c r="J80" i="8"/>
  <c r="I80" i="8"/>
  <c r="H80" i="8"/>
  <c r="G80" i="8"/>
  <c r="F80" i="8"/>
  <c r="E80" i="8"/>
  <c r="D80" i="8"/>
  <c r="C80" i="8"/>
  <c r="N79" i="8"/>
  <c r="M79" i="8"/>
  <c r="L79" i="8"/>
  <c r="K79" i="8"/>
  <c r="J79" i="8"/>
  <c r="I79" i="8"/>
  <c r="H79" i="8"/>
  <c r="G79" i="8"/>
  <c r="F79" i="8"/>
  <c r="E79" i="8"/>
  <c r="D79" i="8"/>
  <c r="C79" i="8"/>
  <c r="G78" i="8"/>
  <c r="N71" i="8"/>
  <c r="M71" i="8"/>
  <c r="L71" i="8"/>
  <c r="K71" i="8"/>
  <c r="J71" i="8"/>
  <c r="I71" i="8"/>
  <c r="H71" i="8"/>
  <c r="G71" i="8"/>
  <c r="F71" i="8"/>
  <c r="E71" i="8"/>
  <c r="D71" i="8"/>
  <c r="C71" i="8"/>
  <c r="N70" i="8"/>
  <c r="M70" i="8"/>
  <c r="L70" i="8"/>
  <c r="K70" i="8"/>
  <c r="J70" i="8"/>
  <c r="I70" i="8"/>
  <c r="H70" i="8"/>
  <c r="G70" i="8"/>
  <c r="F70" i="8"/>
  <c r="E70" i="8"/>
  <c r="D70" i="8"/>
  <c r="C70" i="8"/>
  <c r="N69" i="8"/>
  <c r="M69" i="8"/>
  <c r="L69" i="8"/>
  <c r="K69" i="8"/>
  <c r="J69" i="8"/>
  <c r="I69" i="8"/>
  <c r="H69" i="8"/>
  <c r="G69" i="8"/>
  <c r="F69" i="8"/>
  <c r="E69" i="8"/>
  <c r="D69" i="8"/>
  <c r="C69" i="8"/>
  <c r="N67" i="8"/>
  <c r="M67" i="8"/>
  <c r="L67" i="8"/>
  <c r="K67" i="8"/>
  <c r="J67" i="8"/>
  <c r="I67" i="8"/>
  <c r="H67" i="8"/>
  <c r="G67" i="8"/>
  <c r="F67" i="8"/>
  <c r="E67" i="8"/>
  <c r="D67" i="8"/>
  <c r="C67" i="8"/>
  <c r="N66" i="8"/>
  <c r="M66" i="8"/>
  <c r="L66" i="8"/>
  <c r="K66" i="8"/>
  <c r="J66" i="8"/>
  <c r="I66" i="8"/>
  <c r="H66" i="8"/>
  <c r="G66" i="8"/>
  <c r="F66" i="8"/>
  <c r="E66" i="8"/>
  <c r="D66" i="8"/>
  <c r="C66" i="8"/>
  <c r="O65" i="8"/>
  <c r="N65" i="8"/>
  <c r="M65" i="8"/>
  <c r="L65" i="8"/>
  <c r="K65" i="8"/>
  <c r="J65" i="8"/>
  <c r="I65" i="8"/>
  <c r="H65" i="8"/>
  <c r="G65" i="8"/>
  <c r="F65" i="8"/>
  <c r="E65" i="8"/>
  <c r="D65" i="8"/>
  <c r="C65" i="8"/>
  <c r="N64" i="8"/>
  <c r="M64" i="8"/>
  <c r="L64" i="8"/>
  <c r="K64" i="8"/>
  <c r="J64" i="8"/>
  <c r="I64" i="8"/>
  <c r="H64" i="8"/>
  <c r="G64" i="8"/>
  <c r="F64" i="8"/>
  <c r="E64" i="8"/>
  <c r="D64" i="8"/>
  <c r="C64" i="8"/>
  <c r="N63" i="8"/>
  <c r="N60" i="8"/>
  <c r="M60" i="8"/>
  <c r="L60" i="8"/>
  <c r="K60" i="8"/>
  <c r="J60" i="8"/>
  <c r="I60" i="8"/>
  <c r="H60" i="8"/>
  <c r="G60" i="8"/>
  <c r="F60" i="8"/>
  <c r="E60" i="8"/>
  <c r="D60" i="8"/>
  <c r="C60" i="8"/>
  <c r="N59" i="8"/>
  <c r="M59" i="8"/>
  <c r="L59" i="8"/>
  <c r="K59" i="8"/>
  <c r="J59" i="8"/>
  <c r="I59" i="8"/>
  <c r="H59" i="8"/>
  <c r="G59" i="8"/>
  <c r="F59" i="8"/>
  <c r="E59" i="8"/>
  <c r="D59" i="8"/>
  <c r="C59" i="8"/>
  <c r="O58" i="8"/>
  <c r="N58" i="8"/>
  <c r="M58" i="8"/>
  <c r="L58" i="8"/>
  <c r="K58" i="8"/>
  <c r="J58" i="8"/>
  <c r="I58" i="8"/>
  <c r="H58" i="8"/>
  <c r="G58" i="8"/>
  <c r="F58" i="8"/>
  <c r="E58" i="8"/>
  <c r="D58" i="8"/>
  <c r="C58" i="8"/>
  <c r="N57" i="8"/>
  <c r="M57" i="8"/>
  <c r="L57" i="8"/>
  <c r="K57" i="8"/>
  <c r="J57" i="8"/>
  <c r="I57" i="8"/>
  <c r="H57" i="8"/>
  <c r="G57" i="8"/>
  <c r="F57" i="8"/>
  <c r="E57" i="8"/>
  <c r="D57" i="8"/>
  <c r="C57" i="8"/>
  <c r="N56" i="8"/>
  <c r="M56" i="8"/>
  <c r="L56" i="8"/>
  <c r="K56" i="8"/>
  <c r="J56" i="8"/>
  <c r="I56" i="8"/>
  <c r="H56" i="8"/>
  <c r="G56" i="8"/>
  <c r="F56" i="8"/>
  <c r="E56" i="8"/>
  <c r="D56" i="8"/>
  <c r="C56" i="8"/>
  <c r="M55" i="8"/>
  <c r="O47" i="8"/>
  <c r="O94" i="8" s="1"/>
  <c r="O41" i="8"/>
  <c r="O88" i="8" s="1"/>
  <c r="O40" i="8"/>
  <c r="O87" i="8" s="1"/>
  <c r="O39" i="8"/>
  <c r="O86" i="8" s="1"/>
  <c r="O38" i="8"/>
  <c r="O85" i="8" s="1"/>
  <c r="O37" i="8"/>
  <c r="O84" i="8" s="1"/>
  <c r="O36" i="8"/>
  <c r="O83" i="8" s="1"/>
  <c r="O35" i="8"/>
  <c r="O82" i="8" s="1"/>
  <c r="N34" i="8"/>
  <c r="N81" i="8" s="1"/>
  <c r="M34" i="8"/>
  <c r="M81" i="8" s="1"/>
  <c r="L34" i="8"/>
  <c r="L81" i="8" s="1"/>
  <c r="K34" i="8"/>
  <c r="K81" i="8" s="1"/>
  <c r="J34" i="8"/>
  <c r="J81" i="8" s="1"/>
  <c r="I34" i="8"/>
  <c r="I81" i="8" s="1"/>
  <c r="H34" i="8"/>
  <c r="H81" i="8" s="1"/>
  <c r="G34" i="8"/>
  <c r="G81" i="8" s="1"/>
  <c r="F34" i="8"/>
  <c r="F81" i="8" s="1"/>
  <c r="E34" i="8"/>
  <c r="E81" i="8" s="1"/>
  <c r="D34" i="8"/>
  <c r="D81" i="8" s="1"/>
  <c r="C34" i="8"/>
  <c r="C81" i="8" s="1"/>
  <c r="O33" i="8"/>
  <c r="O80" i="8" s="1"/>
  <c r="O32" i="8"/>
  <c r="O79" i="8" s="1"/>
  <c r="N31" i="8"/>
  <c r="N78" i="8" s="1"/>
  <c r="M31" i="8"/>
  <c r="M78" i="8" s="1"/>
  <c r="L31" i="8"/>
  <c r="L78" i="8" s="1"/>
  <c r="K31" i="8"/>
  <c r="K78" i="8" s="1"/>
  <c r="J31" i="8"/>
  <c r="J78" i="8" s="1"/>
  <c r="I31" i="8"/>
  <c r="I78" i="8" s="1"/>
  <c r="H31" i="8"/>
  <c r="H78" i="8" s="1"/>
  <c r="G31" i="8"/>
  <c r="F31" i="8"/>
  <c r="F78" i="8" s="1"/>
  <c r="E31" i="8"/>
  <c r="E78" i="8" s="1"/>
  <c r="D31" i="8"/>
  <c r="D78" i="8" s="1"/>
  <c r="C31" i="8"/>
  <c r="C78" i="8" s="1"/>
  <c r="O24" i="8"/>
  <c r="O71" i="8" s="1"/>
  <c r="O23" i="8"/>
  <c r="O70" i="8" s="1"/>
  <c r="O22" i="8"/>
  <c r="O69" i="8" s="1"/>
  <c r="N21" i="8"/>
  <c r="N68" i="8" s="1"/>
  <c r="M21" i="8"/>
  <c r="M68" i="8" s="1"/>
  <c r="L21" i="8"/>
  <c r="L68" i="8" s="1"/>
  <c r="K21" i="8"/>
  <c r="K68" i="8" s="1"/>
  <c r="J21" i="8"/>
  <c r="J68" i="8" s="1"/>
  <c r="I21" i="8"/>
  <c r="I68" i="8" s="1"/>
  <c r="H21" i="8"/>
  <c r="H68" i="8" s="1"/>
  <c r="G21" i="8"/>
  <c r="G68" i="8" s="1"/>
  <c r="F21" i="8"/>
  <c r="F68" i="8" s="1"/>
  <c r="E21" i="8"/>
  <c r="E68" i="8" s="1"/>
  <c r="D21" i="8"/>
  <c r="D68" i="8" s="1"/>
  <c r="C21" i="8"/>
  <c r="C68" i="8" s="1"/>
  <c r="O20" i="8"/>
  <c r="O67" i="8" s="1"/>
  <c r="O19" i="8"/>
  <c r="O66" i="8" s="1"/>
  <c r="O18" i="8"/>
  <c r="O17" i="8"/>
  <c r="O64" i="8" s="1"/>
  <c r="N16" i="8"/>
  <c r="M16" i="8"/>
  <c r="M15" i="8" s="1"/>
  <c r="L16" i="8"/>
  <c r="L63" i="8" s="1"/>
  <c r="K16" i="8"/>
  <c r="K63" i="8" s="1"/>
  <c r="J16" i="8"/>
  <c r="J63" i="8" s="1"/>
  <c r="I16" i="8"/>
  <c r="I15" i="8" s="1"/>
  <c r="H16" i="8"/>
  <c r="H63" i="8" s="1"/>
  <c r="G16" i="8"/>
  <c r="G63" i="8" s="1"/>
  <c r="F16" i="8"/>
  <c r="F15" i="8" s="1"/>
  <c r="E16" i="8"/>
  <c r="E15" i="8" s="1"/>
  <c r="D16" i="8"/>
  <c r="D63" i="8" s="1"/>
  <c r="C16" i="8"/>
  <c r="C63" i="8" s="1"/>
  <c r="N15" i="8"/>
  <c r="N14" i="8" s="1"/>
  <c r="N61" i="8" s="1"/>
  <c r="L15" i="8"/>
  <c r="L62" i="8" s="1"/>
  <c r="K15" i="8"/>
  <c r="K62" i="8" s="1"/>
  <c r="J15" i="8"/>
  <c r="J14" i="8" s="1"/>
  <c r="J61" i="8" s="1"/>
  <c r="G15" i="8"/>
  <c r="G62" i="8" s="1"/>
  <c r="D15" i="8"/>
  <c r="D62" i="8" s="1"/>
  <c r="C15" i="8"/>
  <c r="K14" i="8"/>
  <c r="K61" i="8" s="1"/>
  <c r="O13" i="8"/>
  <c r="O60" i="8" s="1"/>
  <c r="O12" i="8"/>
  <c r="O59" i="8" s="1"/>
  <c r="O11" i="8"/>
  <c r="O10" i="8"/>
  <c r="O57" i="8" s="1"/>
  <c r="O9" i="8"/>
  <c r="O56" i="8" s="1"/>
  <c r="N8" i="8"/>
  <c r="N55" i="8" s="1"/>
  <c r="M8" i="8"/>
  <c r="M7" i="8" s="1"/>
  <c r="L8" i="8"/>
  <c r="L55" i="8" s="1"/>
  <c r="K8" i="8"/>
  <c r="K25" i="8" s="1"/>
  <c r="K72" i="8" s="1"/>
  <c r="J8" i="8"/>
  <c r="J55" i="8" s="1"/>
  <c r="I8" i="8"/>
  <c r="I7" i="8" s="1"/>
  <c r="H8" i="8"/>
  <c r="H55" i="8" s="1"/>
  <c r="G8" i="8"/>
  <c r="G25" i="8" s="1"/>
  <c r="G72" i="8" s="1"/>
  <c r="F8" i="8"/>
  <c r="F55" i="8" s="1"/>
  <c r="E8" i="8"/>
  <c r="E7" i="8" s="1"/>
  <c r="D8" i="8"/>
  <c r="D55" i="8" s="1"/>
  <c r="C8" i="8"/>
  <c r="C25" i="8" s="1"/>
  <c r="N7" i="8"/>
  <c r="N54" i="8" s="1"/>
  <c r="L7" i="8"/>
  <c r="L54" i="8" s="1"/>
  <c r="J7" i="8"/>
  <c r="J54" i="8" s="1"/>
  <c r="H7" i="8"/>
  <c r="H54" i="8" s="1"/>
  <c r="D7" i="8"/>
  <c r="D54" i="8" s="1"/>
  <c r="N94" i="58"/>
  <c r="M94" i="58"/>
  <c r="L94" i="58"/>
  <c r="K94" i="58"/>
  <c r="J94" i="58"/>
  <c r="I94" i="58"/>
  <c r="H94" i="58"/>
  <c r="G94" i="58"/>
  <c r="F94" i="58"/>
  <c r="E94" i="58"/>
  <c r="D94" i="58"/>
  <c r="C94" i="58"/>
  <c r="N88" i="58"/>
  <c r="M88" i="58"/>
  <c r="L88" i="58"/>
  <c r="K88" i="58"/>
  <c r="J88" i="58"/>
  <c r="I88" i="58"/>
  <c r="H88" i="58"/>
  <c r="G88" i="58"/>
  <c r="F88" i="58"/>
  <c r="E88" i="58"/>
  <c r="D88" i="58"/>
  <c r="C88" i="58"/>
  <c r="N87" i="58"/>
  <c r="M87" i="58"/>
  <c r="L87" i="58"/>
  <c r="K87" i="58"/>
  <c r="J87" i="58"/>
  <c r="I87" i="58"/>
  <c r="H87" i="58"/>
  <c r="G87" i="58"/>
  <c r="F87" i="58"/>
  <c r="E87" i="58"/>
  <c r="D87" i="58"/>
  <c r="C87" i="58"/>
  <c r="N86" i="58"/>
  <c r="M86" i="58"/>
  <c r="L86" i="58"/>
  <c r="K86" i="58"/>
  <c r="J86" i="58"/>
  <c r="I86" i="58"/>
  <c r="H86" i="58"/>
  <c r="G86" i="58"/>
  <c r="F86" i="58"/>
  <c r="E86" i="58"/>
  <c r="D86" i="58"/>
  <c r="C86" i="58"/>
  <c r="N85" i="58"/>
  <c r="M85" i="58"/>
  <c r="L85" i="58"/>
  <c r="K85" i="58"/>
  <c r="J85" i="58"/>
  <c r="I85" i="58"/>
  <c r="H85" i="58"/>
  <c r="G85" i="58"/>
  <c r="F85" i="58"/>
  <c r="E85" i="58"/>
  <c r="D85" i="58"/>
  <c r="C85" i="58"/>
  <c r="N84" i="58"/>
  <c r="M84" i="58"/>
  <c r="L84" i="58"/>
  <c r="K84" i="58"/>
  <c r="J84" i="58"/>
  <c r="I84" i="58"/>
  <c r="H84" i="58"/>
  <c r="G84" i="58"/>
  <c r="F84" i="58"/>
  <c r="E84" i="58"/>
  <c r="D84" i="58"/>
  <c r="C84" i="58"/>
  <c r="N83" i="58"/>
  <c r="M83" i="58"/>
  <c r="L83" i="58"/>
  <c r="K83" i="58"/>
  <c r="J83" i="58"/>
  <c r="I83" i="58"/>
  <c r="H83" i="58"/>
  <c r="G83" i="58"/>
  <c r="F83" i="58"/>
  <c r="E83" i="58"/>
  <c r="D83" i="58"/>
  <c r="C83" i="58"/>
  <c r="N82" i="58"/>
  <c r="M82" i="58"/>
  <c r="L82" i="58"/>
  <c r="K82" i="58"/>
  <c r="J82" i="58"/>
  <c r="I82" i="58"/>
  <c r="H82" i="58"/>
  <c r="G82" i="58"/>
  <c r="F82" i="58"/>
  <c r="E82" i="58"/>
  <c r="D82" i="58"/>
  <c r="C82" i="58"/>
  <c r="N80" i="58"/>
  <c r="M80" i="58"/>
  <c r="L80" i="58"/>
  <c r="K80" i="58"/>
  <c r="J80" i="58"/>
  <c r="I80" i="58"/>
  <c r="H80" i="58"/>
  <c r="G80" i="58"/>
  <c r="F80" i="58"/>
  <c r="E80" i="58"/>
  <c r="D80" i="58"/>
  <c r="C80" i="58"/>
  <c r="N79" i="58"/>
  <c r="M79" i="58"/>
  <c r="L79" i="58"/>
  <c r="K79" i="58"/>
  <c r="J79" i="58"/>
  <c r="I79" i="58"/>
  <c r="H79" i="58"/>
  <c r="G79" i="58"/>
  <c r="F79" i="58"/>
  <c r="E79" i="58"/>
  <c r="D79" i="58"/>
  <c r="C79" i="58"/>
  <c r="N71" i="58"/>
  <c r="M71" i="58"/>
  <c r="L71" i="58"/>
  <c r="K71" i="58"/>
  <c r="J71" i="58"/>
  <c r="I71" i="58"/>
  <c r="H71" i="58"/>
  <c r="G71" i="58"/>
  <c r="F71" i="58"/>
  <c r="E71" i="58"/>
  <c r="D71" i="58"/>
  <c r="C71" i="58"/>
  <c r="N70" i="58"/>
  <c r="M70" i="58"/>
  <c r="L70" i="58"/>
  <c r="K70" i="58"/>
  <c r="J70" i="58"/>
  <c r="I70" i="58"/>
  <c r="H70" i="58"/>
  <c r="G70" i="58"/>
  <c r="F70" i="58"/>
  <c r="E70" i="58"/>
  <c r="D70" i="58"/>
  <c r="C70" i="58"/>
  <c r="N69" i="58"/>
  <c r="M69" i="58"/>
  <c r="L69" i="58"/>
  <c r="K69" i="58"/>
  <c r="J69" i="58"/>
  <c r="I69" i="58"/>
  <c r="H69" i="58"/>
  <c r="G69" i="58"/>
  <c r="F69" i="58"/>
  <c r="E69" i="58"/>
  <c r="D69" i="58"/>
  <c r="C69" i="58"/>
  <c r="N67" i="58"/>
  <c r="M67" i="58"/>
  <c r="L67" i="58"/>
  <c r="K67" i="58"/>
  <c r="J67" i="58"/>
  <c r="I67" i="58"/>
  <c r="H67" i="58"/>
  <c r="G67" i="58"/>
  <c r="F67" i="58"/>
  <c r="E67" i="58"/>
  <c r="D67" i="58"/>
  <c r="C67" i="58"/>
  <c r="N66" i="58"/>
  <c r="M66" i="58"/>
  <c r="L66" i="58"/>
  <c r="K66" i="58"/>
  <c r="J66" i="58"/>
  <c r="I66" i="58"/>
  <c r="H66" i="58"/>
  <c r="G66" i="58"/>
  <c r="F66" i="58"/>
  <c r="E66" i="58"/>
  <c r="D66" i="58"/>
  <c r="C66" i="58"/>
  <c r="N65" i="58"/>
  <c r="M65" i="58"/>
  <c r="L65" i="58"/>
  <c r="K65" i="58"/>
  <c r="J65" i="58"/>
  <c r="I65" i="58"/>
  <c r="H65" i="58"/>
  <c r="G65" i="58"/>
  <c r="F65" i="58"/>
  <c r="E65" i="58"/>
  <c r="D65" i="58"/>
  <c r="C65" i="58"/>
  <c r="N64" i="58"/>
  <c r="M64" i="58"/>
  <c r="L64" i="58"/>
  <c r="K64" i="58"/>
  <c r="J64" i="58"/>
  <c r="I64" i="58"/>
  <c r="H64" i="58"/>
  <c r="G64" i="58"/>
  <c r="F64" i="58"/>
  <c r="E64" i="58"/>
  <c r="D64" i="58"/>
  <c r="C64" i="58"/>
  <c r="N60" i="58"/>
  <c r="M60" i="58"/>
  <c r="L60" i="58"/>
  <c r="K60" i="58"/>
  <c r="J60" i="58"/>
  <c r="I60" i="58"/>
  <c r="H60" i="58"/>
  <c r="G60" i="58"/>
  <c r="F60" i="58"/>
  <c r="E60" i="58"/>
  <c r="D60" i="58"/>
  <c r="C60" i="58"/>
  <c r="N59" i="58"/>
  <c r="M59" i="58"/>
  <c r="L59" i="58"/>
  <c r="K59" i="58"/>
  <c r="J59" i="58"/>
  <c r="I59" i="58"/>
  <c r="H59" i="58"/>
  <c r="G59" i="58"/>
  <c r="F59" i="58"/>
  <c r="E59" i="58"/>
  <c r="D59" i="58"/>
  <c r="C59" i="58"/>
  <c r="O58" i="58"/>
  <c r="N58" i="58"/>
  <c r="M58" i="58"/>
  <c r="L58" i="58"/>
  <c r="K58" i="58"/>
  <c r="J58" i="58"/>
  <c r="I58" i="58"/>
  <c r="H58" i="58"/>
  <c r="G58" i="58"/>
  <c r="F58" i="58"/>
  <c r="E58" i="58"/>
  <c r="D58" i="58"/>
  <c r="C58" i="58"/>
  <c r="N57" i="58"/>
  <c r="M57" i="58"/>
  <c r="L57" i="58"/>
  <c r="K57" i="58"/>
  <c r="J57" i="58"/>
  <c r="I57" i="58"/>
  <c r="H57" i="58"/>
  <c r="G57" i="58"/>
  <c r="F57" i="58"/>
  <c r="E57" i="58"/>
  <c r="D57" i="58"/>
  <c r="C57" i="58"/>
  <c r="N56" i="58"/>
  <c r="M56" i="58"/>
  <c r="L56" i="58"/>
  <c r="K56" i="58"/>
  <c r="J56" i="58"/>
  <c r="I56" i="58"/>
  <c r="H56" i="58"/>
  <c r="G56" i="58"/>
  <c r="F56" i="58"/>
  <c r="E56" i="58"/>
  <c r="D56" i="58"/>
  <c r="C56" i="58"/>
  <c r="O47" i="58"/>
  <c r="O94" i="58" s="1"/>
  <c r="O41" i="58"/>
  <c r="O88" i="58" s="1"/>
  <c r="O40" i="58"/>
  <c r="O87" i="58" s="1"/>
  <c r="O39" i="58"/>
  <c r="O86" i="58" s="1"/>
  <c r="O38" i="58"/>
  <c r="O85" i="58" s="1"/>
  <c r="O37" i="58"/>
  <c r="O84" i="58" s="1"/>
  <c r="O36" i="58"/>
  <c r="O83" i="58" s="1"/>
  <c r="O35" i="58"/>
  <c r="O82" i="58" s="1"/>
  <c r="N34" i="58"/>
  <c r="N81" i="58" s="1"/>
  <c r="M34" i="58"/>
  <c r="M81" i="58" s="1"/>
  <c r="L34" i="58"/>
  <c r="L81" i="58" s="1"/>
  <c r="K34" i="58"/>
  <c r="K81" i="58" s="1"/>
  <c r="J34" i="58"/>
  <c r="J81" i="58" s="1"/>
  <c r="I34" i="58"/>
  <c r="I81" i="58" s="1"/>
  <c r="H34" i="58"/>
  <c r="H81" i="58" s="1"/>
  <c r="G34" i="58"/>
  <c r="G81" i="58" s="1"/>
  <c r="F34" i="58"/>
  <c r="F81" i="58" s="1"/>
  <c r="E34" i="58"/>
  <c r="E81" i="58" s="1"/>
  <c r="D34" i="58"/>
  <c r="D81" i="58" s="1"/>
  <c r="C34" i="58"/>
  <c r="C81" i="58" s="1"/>
  <c r="O33" i="58"/>
  <c r="O80" i="58" s="1"/>
  <c r="O32" i="58"/>
  <c r="O79" i="58" s="1"/>
  <c r="N31" i="58"/>
  <c r="N78" i="58" s="1"/>
  <c r="M31" i="58"/>
  <c r="M78" i="58" s="1"/>
  <c r="L31" i="58"/>
  <c r="L78" i="58" s="1"/>
  <c r="K31" i="58"/>
  <c r="K78" i="58" s="1"/>
  <c r="J31" i="58"/>
  <c r="J78" i="58" s="1"/>
  <c r="I31" i="58"/>
  <c r="I78" i="58" s="1"/>
  <c r="H31" i="58"/>
  <c r="H78" i="58" s="1"/>
  <c r="G31" i="58"/>
  <c r="G78" i="58" s="1"/>
  <c r="F31" i="58"/>
  <c r="F78" i="58" s="1"/>
  <c r="E31" i="58"/>
  <c r="E78" i="58" s="1"/>
  <c r="D31" i="58"/>
  <c r="D78" i="58" s="1"/>
  <c r="C31" i="58"/>
  <c r="C78" i="58" s="1"/>
  <c r="M25" i="58"/>
  <c r="M72" i="58" s="1"/>
  <c r="O24" i="58"/>
  <c r="O71" i="58" s="1"/>
  <c r="O23" i="58"/>
  <c r="O70" i="58" s="1"/>
  <c r="O22" i="58"/>
  <c r="O69" i="58" s="1"/>
  <c r="N21" i="58"/>
  <c r="N68" i="58" s="1"/>
  <c r="M21" i="58"/>
  <c r="L21" i="58"/>
  <c r="L68" i="58" s="1"/>
  <c r="K21" i="58"/>
  <c r="K68" i="58" s="1"/>
  <c r="J21" i="58"/>
  <c r="J68" i="58" s="1"/>
  <c r="I21" i="58"/>
  <c r="H21" i="58"/>
  <c r="H68" i="58" s="1"/>
  <c r="G21" i="58"/>
  <c r="G68" i="58" s="1"/>
  <c r="F21" i="58"/>
  <c r="F68" i="58" s="1"/>
  <c r="E21" i="58"/>
  <c r="E68" i="58" s="1"/>
  <c r="D21" i="58"/>
  <c r="D68" i="58" s="1"/>
  <c r="C21" i="58"/>
  <c r="C68" i="58" s="1"/>
  <c r="O20" i="58"/>
  <c r="O67" i="58" s="1"/>
  <c r="O19" i="58"/>
  <c r="O66" i="58" s="1"/>
  <c r="O18" i="58"/>
  <c r="O65" i="58" s="1"/>
  <c r="O17" i="58"/>
  <c r="O64" i="58" s="1"/>
  <c r="N16" i="58"/>
  <c r="N15" i="58" s="1"/>
  <c r="M16" i="58"/>
  <c r="M63" i="58" s="1"/>
  <c r="L16" i="58"/>
  <c r="L63" i="58" s="1"/>
  <c r="K16" i="58"/>
  <c r="K63" i="58" s="1"/>
  <c r="J16" i="58"/>
  <c r="J15" i="58" s="1"/>
  <c r="I16" i="58"/>
  <c r="I63" i="58" s="1"/>
  <c r="H16" i="58"/>
  <c r="H63" i="58" s="1"/>
  <c r="G16" i="58"/>
  <c r="G63" i="58" s="1"/>
  <c r="F16" i="58"/>
  <c r="F15" i="58" s="1"/>
  <c r="E16" i="58"/>
  <c r="E63" i="58" s="1"/>
  <c r="D16" i="58"/>
  <c r="D63" i="58" s="1"/>
  <c r="C16" i="58"/>
  <c r="C63" i="58" s="1"/>
  <c r="M15" i="58"/>
  <c r="M62" i="58" s="1"/>
  <c r="L15" i="58"/>
  <c r="L62" i="58" s="1"/>
  <c r="K15" i="58"/>
  <c r="K14" i="58" s="1"/>
  <c r="K61" i="58" s="1"/>
  <c r="I15" i="58"/>
  <c r="I62" i="58" s="1"/>
  <c r="G15" i="58"/>
  <c r="G14" i="58" s="1"/>
  <c r="G61" i="58" s="1"/>
  <c r="E15" i="58"/>
  <c r="E62" i="58" s="1"/>
  <c r="L14" i="58"/>
  <c r="L61" i="58" s="1"/>
  <c r="O13" i="58"/>
  <c r="O60" i="58" s="1"/>
  <c r="O12" i="58"/>
  <c r="O59" i="58" s="1"/>
  <c r="O11" i="58"/>
  <c r="O10" i="58"/>
  <c r="O57" i="58" s="1"/>
  <c r="O9" i="58"/>
  <c r="O56" i="58" s="1"/>
  <c r="N8" i="58"/>
  <c r="M8" i="58"/>
  <c r="M55" i="58" s="1"/>
  <c r="L8" i="58"/>
  <c r="L55" i="58" s="1"/>
  <c r="K8" i="58"/>
  <c r="J8" i="58"/>
  <c r="I8" i="58"/>
  <c r="I55" i="58" s="1"/>
  <c r="H8" i="58"/>
  <c r="H55" i="58" s="1"/>
  <c r="G8" i="58"/>
  <c r="F8" i="58"/>
  <c r="F55" i="58" s="1"/>
  <c r="E8" i="58"/>
  <c r="E55" i="58" s="1"/>
  <c r="D8" i="58"/>
  <c r="D55" i="58" s="1"/>
  <c r="C8" i="58"/>
  <c r="M7" i="58"/>
  <c r="M54" i="58" s="1"/>
  <c r="L7" i="58"/>
  <c r="L54" i="58" s="1"/>
  <c r="K7" i="58"/>
  <c r="K54" i="58" s="1"/>
  <c r="H7" i="58"/>
  <c r="H54" i="58" s="1"/>
  <c r="G7" i="58"/>
  <c r="D7" i="58"/>
  <c r="D54" i="58" s="1"/>
  <c r="C7" i="58"/>
  <c r="H25" i="9" l="1"/>
  <c r="H74" i="9" s="1"/>
  <c r="E7" i="58"/>
  <c r="E54" i="58" s="1"/>
  <c r="D15" i="58"/>
  <c r="E25" i="58"/>
  <c r="E72" i="58" s="1"/>
  <c r="G7" i="8"/>
  <c r="G14" i="8"/>
  <c r="G61" i="8" s="1"/>
  <c r="F63" i="8"/>
  <c r="H7" i="9"/>
  <c r="H56" i="9" s="1"/>
  <c r="N30" i="9"/>
  <c r="N27" i="9" s="1"/>
  <c r="J25" i="9"/>
  <c r="J74" i="9" s="1"/>
  <c r="G15" i="9"/>
  <c r="E7" i="10"/>
  <c r="E56" i="10" s="1"/>
  <c r="D15" i="10"/>
  <c r="I25" i="10"/>
  <c r="I74" i="10" s="1"/>
  <c r="E57" i="10"/>
  <c r="M25" i="11"/>
  <c r="M74" i="11" s="1"/>
  <c r="I57" i="11"/>
  <c r="G28" i="58"/>
  <c r="I25" i="58"/>
  <c r="I72" i="58" s="1"/>
  <c r="C7" i="8"/>
  <c r="L25" i="8"/>
  <c r="L72" i="8" s="1"/>
  <c r="D7" i="9"/>
  <c r="D56" i="9" s="1"/>
  <c r="G25" i="9"/>
  <c r="G74" i="9" s="1"/>
  <c r="C15" i="9"/>
  <c r="C25" i="9" s="1"/>
  <c r="C74" i="9" s="1"/>
  <c r="D25" i="9"/>
  <c r="D74" i="9" s="1"/>
  <c r="N64" i="9"/>
  <c r="M25" i="10"/>
  <c r="M74" i="10" s="1"/>
  <c r="I57" i="10"/>
  <c r="M7" i="10"/>
  <c r="M56" i="10" s="1"/>
  <c r="L15" i="10"/>
  <c r="E25" i="11"/>
  <c r="E74" i="11" s="1"/>
  <c r="I7" i="58"/>
  <c r="I54" i="58" s="1"/>
  <c r="G25" i="58"/>
  <c r="G72" i="58" s="1"/>
  <c r="K25" i="58"/>
  <c r="K72" i="58" s="1"/>
  <c r="C15" i="58"/>
  <c r="C25" i="58" s="1"/>
  <c r="C72" i="58" s="1"/>
  <c r="H15" i="58"/>
  <c r="E14" i="58"/>
  <c r="E61" i="58" s="1"/>
  <c r="I14" i="58"/>
  <c r="I61" i="58" s="1"/>
  <c r="M14" i="58"/>
  <c r="M61" i="58" s="1"/>
  <c r="K28" i="58"/>
  <c r="F7" i="8"/>
  <c r="F54" i="8" s="1"/>
  <c r="K7" i="8"/>
  <c r="K54" i="8" s="1"/>
  <c r="D14" i="8"/>
  <c r="D61" i="8" s="1"/>
  <c r="L14" i="8"/>
  <c r="L61" i="8" s="1"/>
  <c r="H15" i="8"/>
  <c r="D25" i="8"/>
  <c r="D72" i="8" s="1"/>
  <c r="E55" i="8"/>
  <c r="G7" i="9"/>
  <c r="G56" i="9" s="1"/>
  <c r="L7" i="9"/>
  <c r="L56" i="9" s="1"/>
  <c r="F15" i="9"/>
  <c r="F14" i="9" s="1"/>
  <c r="F63" i="9" s="1"/>
  <c r="K15" i="9"/>
  <c r="D14" i="9"/>
  <c r="D63" i="9" s="1"/>
  <c r="H14" i="9"/>
  <c r="H63" i="9" s="1"/>
  <c r="L14" i="9"/>
  <c r="L63" i="9" s="1"/>
  <c r="L25" i="9"/>
  <c r="L74" i="9" s="1"/>
  <c r="H15" i="10"/>
  <c r="E15" i="12"/>
  <c r="E14" i="12" s="1"/>
  <c r="I15" i="12"/>
  <c r="I14" i="12" s="1"/>
  <c r="I63" i="12" s="1"/>
  <c r="M15" i="12"/>
  <c r="M14" i="12" s="1"/>
  <c r="G15" i="12"/>
  <c r="G25" i="12" s="1"/>
  <c r="G74" i="12" s="1"/>
  <c r="G7" i="12"/>
  <c r="G56" i="12" s="1"/>
  <c r="K25" i="12"/>
  <c r="K74" i="12" s="1"/>
  <c r="K7" i="12"/>
  <c r="K56" i="12" s="1"/>
  <c r="E85" i="12"/>
  <c r="I85" i="12"/>
  <c r="M85" i="12"/>
  <c r="F85" i="12"/>
  <c r="J85" i="12"/>
  <c r="C85" i="12"/>
  <c r="G85" i="12"/>
  <c r="K85" i="12"/>
  <c r="D85" i="12"/>
  <c r="H85" i="12"/>
  <c r="L85" i="12"/>
  <c r="O33" i="12"/>
  <c r="O82" i="12" s="1"/>
  <c r="I25" i="12"/>
  <c r="I74" i="12" s="1"/>
  <c r="C65" i="12"/>
  <c r="K65" i="12"/>
  <c r="C7" i="12"/>
  <c r="C56" i="12" s="1"/>
  <c r="C25" i="12"/>
  <c r="C74" i="12" s="1"/>
  <c r="I57" i="12"/>
  <c r="E7" i="12"/>
  <c r="E56" i="12" s="1"/>
  <c r="M7" i="12"/>
  <c r="M56" i="12" s="1"/>
  <c r="O8" i="12"/>
  <c r="O57" i="12" s="1"/>
  <c r="E64" i="12"/>
  <c r="H57" i="12"/>
  <c r="H7" i="12"/>
  <c r="F15" i="12"/>
  <c r="F25" i="12" s="1"/>
  <c r="F74" i="12" s="1"/>
  <c r="F65" i="12"/>
  <c r="I64" i="12"/>
  <c r="O16" i="12"/>
  <c r="O65" i="12" s="1"/>
  <c r="O21" i="12"/>
  <c r="O70" i="12" s="1"/>
  <c r="D57" i="12"/>
  <c r="D7" i="12"/>
  <c r="L57" i="12"/>
  <c r="L7" i="12"/>
  <c r="J15" i="12"/>
  <c r="J25" i="12" s="1"/>
  <c r="J74" i="12" s="1"/>
  <c r="J65" i="12"/>
  <c r="N15" i="12"/>
  <c r="N65" i="12"/>
  <c r="F7" i="12"/>
  <c r="F57" i="12"/>
  <c r="J7" i="12"/>
  <c r="J57" i="12"/>
  <c r="N7" i="12"/>
  <c r="N57" i="12"/>
  <c r="C14" i="12"/>
  <c r="C64" i="12"/>
  <c r="K14" i="12"/>
  <c r="K63" i="12" s="1"/>
  <c r="K64" i="12"/>
  <c r="D65" i="12"/>
  <c r="D15" i="12"/>
  <c r="D25" i="12" s="1"/>
  <c r="H65" i="12"/>
  <c r="H15" i="12"/>
  <c r="L65" i="12"/>
  <c r="L15" i="12"/>
  <c r="M25" i="12"/>
  <c r="M74" i="12" s="1"/>
  <c r="O36" i="12"/>
  <c r="O85" i="12" s="1"/>
  <c r="I70" i="11"/>
  <c r="I14" i="11"/>
  <c r="I63" i="11" s="1"/>
  <c r="F15" i="11"/>
  <c r="F25" i="11" s="1"/>
  <c r="F74" i="11" s="1"/>
  <c r="F65" i="11"/>
  <c r="J15" i="11"/>
  <c r="J65" i="11"/>
  <c r="N15" i="11"/>
  <c r="N65" i="11"/>
  <c r="O33" i="11"/>
  <c r="O82" i="11" s="1"/>
  <c r="E70" i="11"/>
  <c r="E14" i="11"/>
  <c r="E63" i="11" s="1"/>
  <c r="K14" i="11"/>
  <c r="K63" i="11" s="1"/>
  <c r="K64" i="11"/>
  <c r="C14" i="11"/>
  <c r="C64" i="11"/>
  <c r="M70" i="11"/>
  <c r="M14" i="11"/>
  <c r="M63" i="11" s="1"/>
  <c r="F7" i="11"/>
  <c r="F57" i="11"/>
  <c r="J7" i="11"/>
  <c r="J57" i="11"/>
  <c r="J25" i="11"/>
  <c r="J74" i="11" s="1"/>
  <c r="N7" i="11"/>
  <c r="N57" i="11"/>
  <c r="G14" i="11"/>
  <c r="G64" i="11"/>
  <c r="C30" i="11"/>
  <c r="C27" i="11" s="1"/>
  <c r="O8" i="11"/>
  <c r="O57" i="11" s="1"/>
  <c r="O16" i="11"/>
  <c r="O65" i="11" s="1"/>
  <c r="D30" i="11"/>
  <c r="D27" i="11" s="1"/>
  <c r="H30" i="11"/>
  <c r="H27" i="11" s="1"/>
  <c r="L30" i="11"/>
  <c r="L27" i="11" s="1"/>
  <c r="O21" i="11"/>
  <c r="O70" i="11" s="1"/>
  <c r="C25" i="11"/>
  <c r="G25" i="11"/>
  <c r="G74" i="11" s="1"/>
  <c r="K25" i="11"/>
  <c r="K74" i="11" s="1"/>
  <c r="E30" i="11"/>
  <c r="E27" i="11" s="1"/>
  <c r="I30" i="11"/>
  <c r="I27" i="11" s="1"/>
  <c r="M30" i="11"/>
  <c r="M27" i="11" s="1"/>
  <c r="D25" i="11"/>
  <c r="D74" i="11" s="1"/>
  <c r="H25" i="11"/>
  <c r="H74" i="11" s="1"/>
  <c r="L25" i="11"/>
  <c r="L74" i="11" s="1"/>
  <c r="O36" i="11"/>
  <c r="O85" i="11" s="1"/>
  <c r="F15" i="10"/>
  <c r="F65" i="10"/>
  <c r="J15" i="10"/>
  <c r="J65" i="10"/>
  <c r="O33" i="10"/>
  <c r="O82" i="10" s="1"/>
  <c r="K14" i="10"/>
  <c r="K64" i="10"/>
  <c r="F7" i="10"/>
  <c r="O7" i="10" s="1"/>
  <c r="O56" i="10" s="1"/>
  <c r="F57" i="10"/>
  <c r="F25" i="10"/>
  <c r="F74" i="10" s="1"/>
  <c r="J7" i="10"/>
  <c r="J57" i="10"/>
  <c r="N7" i="10"/>
  <c r="N57" i="10"/>
  <c r="G14" i="10"/>
  <c r="G63" i="10" s="1"/>
  <c r="G64" i="10"/>
  <c r="C30" i="10"/>
  <c r="C27" i="10" s="1"/>
  <c r="N15" i="10"/>
  <c r="N65" i="10"/>
  <c r="C14" i="10"/>
  <c r="C64" i="10"/>
  <c r="E70" i="10"/>
  <c r="E14" i="10"/>
  <c r="E63" i="10" s="1"/>
  <c r="I70" i="10"/>
  <c r="I14" i="10"/>
  <c r="I63" i="10" s="1"/>
  <c r="M70" i="10"/>
  <c r="M14" i="10"/>
  <c r="M63" i="10" s="1"/>
  <c r="G30" i="10"/>
  <c r="G27" i="10" s="1"/>
  <c r="O8" i="10"/>
  <c r="O57" i="10" s="1"/>
  <c r="O16" i="10"/>
  <c r="O65" i="10" s="1"/>
  <c r="O21" i="10"/>
  <c r="O70" i="10" s="1"/>
  <c r="C25" i="10"/>
  <c r="G25" i="10"/>
  <c r="G74" i="10" s="1"/>
  <c r="K25" i="10"/>
  <c r="K74" i="10" s="1"/>
  <c r="E30" i="10"/>
  <c r="E27" i="10" s="1"/>
  <c r="M30" i="10"/>
  <c r="M27" i="10" s="1"/>
  <c r="D25" i="10"/>
  <c r="D74" i="10" s="1"/>
  <c r="H25" i="10"/>
  <c r="H74" i="10" s="1"/>
  <c r="L25" i="10"/>
  <c r="L74" i="10" s="1"/>
  <c r="O36" i="10"/>
  <c r="O85" i="10" s="1"/>
  <c r="N44" i="9"/>
  <c r="N32" i="9"/>
  <c r="N81" i="9" s="1"/>
  <c r="N31" i="9"/>
  <c r="N80" i="9" s="1"/>
  <c r="N79" i="9"/>
  <c r="M64" i="9"/>
  <c r="M14" i="9"/>
  <c r="M63" i="9" s="1"/>
  <c r="J30" i="9"/>
  <c r="J27" i="9" s="1"/>
  <c r="O33" i="9"/>
  <c r="O82" i="9" s="1"/>
  <c r="N56" i="9"/>
  <c r="E65" i="9"/>
  <c r="D70" i="9"/>
  <c r="E64" i="9"/>
  <c r="E14" i="9"/>
  <c r="E7" i="9"/>
  <c r="E25" i="9"/>
  <c r="E74" i="9" s="1"/>
  <c r="I7" i="9"/>
  <c r="I25" i="9"/>
  <c r="I74" i="9" s="1"/>
  <c r="M7" i="9"/>
  <c r="M25" i="9"/>
  <c r="M74" i="9" s="1"/>
  <c r="E57" i="9"/>
  <c r="F64" i="9"/>
  <c r="I65" i="9"/>
  <c r="H70" i="9"/>
  <c r="I64" i="9"/>
  <c r="I14" i="9"/>
  <c r="I63" i="9" s="1"/>
  <c r="N25" i="9"/>
  <c r="N74" i="9" s="1"/>
  <c r="I57" i="9"/>
  <c r="J64" i="9"/>
  <c r="M65" i="9"/>
  <c r="L70" i="9"/>
  <c r="O15" i="9"/>
  <c r="O64" i="9" s="1"/>
  <c r="F57" i="9"/>
  <c r="J57" i="9"/>
  <c r="N57" i="9"/>
  <c r="O8" i="9"/>
  <c r="O57" i="9" s="1"/>
  <c r="O16" i="9"/>
  <c r="O65" i="9" s="1"/>
  <c r="D30" i="9"/>
  <c r="D27" i="9" s="1"/>
  <c r="H30" i="9"/>
  <c r="H27" i="9" s="1"/>
  <c r="L30" i="9"/>
  <c r="L27" i="9" s="1"/>
  <c r="C57" i="9"/>
  <c r="G57" i="9"/>
  <c r="K57" i="9"/>
  <c r="O21" i="9"/>
  <c r="O70" i="9" s="1"/>
  <c r="O36" i="9"/>
  <c r="O85" i="9" s="1"/>
  <c r="O15" i="8"/>
  <c r="O62" i="8" s="1"/>
  <c r="F14" i="8"/>
  <c r="F61" i="8" s="1"/>
  <c r="F62" i="8"/>
  <c r="I62" i="8"/>
  <c r="I14" i="8"/>
  <c r="I61" i="8" s="1"/>
  <c r="C14" i="8"/>
  <c r="O31" i="8"/>
  <c r="O78" i="8" s="1"/>
  <c r="I63" i="8"/>
  <c r="E54" i="8"/>
  <c r="I54" i="8"/>
  <c r="I28" i="8"/>
  <c r="M54" i="8"/>
  <c r="E25" i="8"/>
  <c r="E72" i="8" s="1"/>
  <c r="M25" i="8"/>
  <c r="M72" i="8" s="1"/>
  <c r="C28" i="8"/>
  <c r="K28" i="8"/>
  <c r="C54" i="8"/>
  <c r="C72" i="8"/>
  <c r="E62" i="8"/>
  <c r="E14" i="8"/>
  <c r="E61" i="8" s="1"/>
  <c r="M62" i="8"/>
  <c r="M14" i="8"/>
  <c r="M61" i="8" s="1"/>
  <c r="I25" i="8"/>
  <c r="I72" i="8" s="1"/>
  <c r="C62" i="8"/>
  <c r="J28" i="8"/>
  <c r="N62" i="8"/>
  <c r="F25" i="8"/>
  <c r="F72" i="8" s="1"/>
  <c r="J25" i="8"/>
  <c r="J72" i="8" s="1"/>
  <c r="N25" i="8"/>
  <c r="N72" i="8" s="1"/>
  <c r="F28" i="8"/>
  <c r="N28" i="8"/>
  <c r="I55" i="8"/>
  <c r="J62" i="8"/>
  <c r="E63" i="8"/>
  <c r="M63" i="8"/>
  <c r="O8" i="8"/>
  <c r="O55" i="8" s="1"/>
  <c r="O16" i="8"/>
  <c r="O63" i="8" s="1"/>
  <c r="D28" i="8"/>
  <c r="L28" i="8"/>
  <c r="C55" i="8"/>
  <c r="G55" i="8"/>
  <c r="K55" i="8"/>
  <c r="O21" i="8"/>
  <c r="O68" i="8" s="1"/>
  <c r="O34" i="8"/>
  <c r="O81" i="8" s="1"/>
  <c r="G42" i="58"/>
  <c r="G30" i="58"/>
  <c r="G77" i="58" s="1"/>
  <c r="G75" i="58"/>
  <c r="G29" i="58"/>
  <c r="G76" i="58" s="1"/>
  <c r="G26" i="58"/>
  <c r="G73" i="58" s="1"/>
  <c r="N14" i="58"/>
  <c r="N61" i="58" s="1"/>
  <c r="N62" i="58"/>
  <c r="K42" i="58"/>
  <c r="K30" i="58"/>
  <c r="K77" i="58" s="1"/>
  <c r="K29" i="58"/>
  <c r="K76" i="58" s="1"/>
  <c r="K75" i="58"/>
  <c r="K26" i="58"/>
  <c r="K73" i="58" s="1"/>
  <c r="F63" i="58"/>
  <c r="C54" i="58"/>
  <c r="G62" i="58"/>
  <c r="J63" i="58"/>
  <c r="I68" i="58"/>
  <c r="J14" i="58"/>
  <c r="J61" i="58" s="1"/>
  <c r="J62" i="58"/>
  <c r="F25" i="58"/>
  <c r="F72" i="58" s="1"/>
  <c r="F7" i="58"/>
  <c r="J25" i="58"/>
  <c r="J72" i="58" s="1"/>
  <c r="J7" i="58"/>
  <c r="N25" i="58"/>
  <c r="N72" i="58" s="1"/>
  <c r="N7" i="58"/>
  <c r="G54" i="58"/>
  <c r="J55" i="58"/>
  <c r="K62" i="58"/>
  <c r="N63" i="58"/>
  <c r="M68" i="58"/>
  <c r="F14" i="58"/>
  <c r="F61" i="58" s="1"/>
  <c r="F62" i="58"/>
  <c r="N55" i="58"/>
  <c r="D25" i="58"/>
  <c r="D72" i="58" s="1"/>
  <c r="H25" i="58"/>
  <c r="H72" i="58" s="1"/>
  <c r="L25" i="58"/>
  <c r="L72" i="58" s="1"/>
  <c r="O31" i="58"/>
  <c r="O78" i="58" s="1"/>
  <c r="O8" i="58"/>
  <c r="O55" i="58" s="1"/>
  <c r="O16" i="58"/>
  <c r="O63" i="58" s="1"/>
  <c r="L28" i="58"/>
  <c r="C55" i="58"/>
  <c r="G55" i="58"/>
  <c r="K55" i="58"/>
  <c r="O21" i="58"/>
  <c r="O68" i="58" s="1"/>
  <c r="E28" i="58"/>
  <c r="I28" i="58"/>
  <c r="M28" i="58"/>
  <c r="O34" i="58"/>
  <c r="O81" i="58" s="1"/>
  <c r="M76" i="10" l="1"/>
  <c r="M28" i="10"/>
  <c r="M77" i="10" s="1"/>
  <c r="M28" i="11"/>
  <c r="M77" i="11" s="1"/>
  <c r="M76" i="11"/>
  <c r="H28" i="11"/>
  <c r="H77" i="11" s="1"/>
  <c r="H76" i="11"/>
  <c r="C76" i="11"/>
  <c r="C28" i="11"/>
  <c r="H62" i="8"/>
  <c r="H14" i="8"/>
  <c r="L64" i="10"/>
  <c r="L14" i="10"/>
  <c r="O7" i="8"/>
  <c r="O54" i="8" s="1"/>
  <c r="F25" i="9"/>
  <c r="F74" i="9" s="1"/>
  <c r="H25" i="8"/>
  <c r="H72" i="8" s="1"/>
  <c r="D62" i="58"/>
  <c r="D14" i="58"/>
  <c r="L76" i="9"/>
  <c r="L28" i="9"/>
  <c r="L77" i="9" s="1"/>
  <c r="J76" i="9"/>
  <c r="J28" i="9"/>
  <c r="J77" i="9" s="1"/>
  <c r="E76" i="10"/>
  <c r="E28" i="10"/>
  <c r="E77" i="10" s="1"/>
  <c r="I28" i="11"/>
  <c r="I77" i="11" s="1"/>
  <c r="I76" i="11"/>
  <c r="D28" i="11"/>
  <c r="D77" i="11" s="1"/>
  <c r="D76" i="11"/>
  <c r="H64" i="10"/>
  <c r="H14" i="10"/>
  <c r="H62" i="58"/>
  <c r="H14" i="58"/>
  <c r="F30" i="9"/>
  <c r="N76" i="9"/>
  <c r="N28" i="9"/>
  <c r="N77" i="9" s="1"/>
  <c r="H28" i="9"/>
  <c r="H77" i="9" s="1"/>
  <c r="H76" i="9"/>
  <c r="O7" i="9"/>
  <c r="O56" i="9" s="1"/>
  <c r="C28" i="10"/>
  <c r="C77" i="10" s="1"/>
  <c r="C76" i="10"/>
  <c r="E28" i="11"/>
  <c r="E77" i="11" s="1"/>
  <c r="E76" i="11"/>
  <c r="K64" i="9"/>
  <c r="K14" i="9"/>
  <c r="C14" i="58"/>
  <c r="C62" i="58"/>
  <c r="O15" i="58"/>
  <c r="O62" i="58" s="1"/>
  <c r="C64" i="9"/>
  <c r="C14" i="9"/>
  <c r="G64" i="9"/>
  <c r="G14" i="9"/>
  <c r="G28" i="8"/>
  <c r="G54" i="8"/>
  <c r="D76" i="9"/>
  <c r="D28" i="9"/>
  <c r="D77" i="9" s="1"/>
  <c r="G76" i="10"/>
  <c r="G28" i="10"/>
  <c r="G77" i="10" s="1"/>
  <c r="L28" i="11"/>
  <c r="L77" i="11" s="1"/>
  <c r="L76" i="11"/>
  <c r="O7" i="11"/>
  <c r="O56" i="11" s="1"/>
  <c r="K25" i="9"/>
  <c r="K74" i="9" s="1"/>
  <c r="D64" i="10"/>
  <c r="D14" i="10"/>
  <c r="E25" i="12"/>
  <c r="E74" i="12" s="1"/>
  <c r="M64" i="12"/>
  <c r="G64" i="12"/>
  <c r="C30" i="12"/>
  <c r="G14" i="12"/>
  <c r="G30" i="12" s="1"/>
  <c r="K30" i="12"/>
  <c r="I30" i="12"/>
  <c r="D74" i="12"/>
  <c r="L14" i="12"/>
  <c r="L63" i="12" s="1"/>
  <c r="L64" i="12"/>
  <c r="L56" i="12"/>
  <c r="E30" i="12"/>
  <c r="E63" i="12"/>
  <c r="N64" i="12"/>
  <c r="N14" i="12"/>
  <c r="N63" i="12" s="1"/>
  <c r="H14" i="12"/>
  <c r="H63" i="12" s="1"/>
  <c r="H64" i="12"/>
  <c r="N25" i="12"/>
  <c r="N74" i="12" s="1"/>
  <c r="F56" i="12"/>
  <c r="M63" i="12"/>
  <c r="M30" i="12"/>
  <c r="F64" i="12"/>
  <c r="F14" i="12"/>
  <c r="F63" i="12" s="1"/>
  <c r="H25" i="12"/>
  <c r="H74" i="12" s="1"/>
  <c r="O15" i="12"/>
  <c r="O64" i="12" s="1"/>
  <c r="D14" i="12"/>
  <c r="D63" i="12" s="1"/>
  <c r="D64" i="12"/>
  <c r="N56" i="12"/>
  <c r="C63" i="12"/>
  <c r="L25" i="12"/>
  <c r="L74" i="12" s="1"/>
  <c r="H56" i="12"/>
  <c r="J56" i="12"/>
  <c r="O7" i="12"/>
  <c r="O56" i="12" s="1"/>
  <c r="J14" i="12"/>
  <c r="J63" i="12" s="1"/>
  <c r="J64" i="12"/>
  <c r="D56" i="12"/>
  <c r="M79" i="11"/>
  <c r="M31" i="11"/>
  <c r="M80" i="11" s="1"/>
  <c r="M44" i="11"/>
  <c r="M32" i="11"/>
  <c r="M81" i="11" s="1"/>
  <c r="C44" i="11"/>
  <c r="C32" i="11"/>
  <c r="C79" i="11"/>
  <c r="C31" i="11"/>
  <c r="C63" i="11"/>
  <c r="I79" i="11"/>
  <c r="I31" i="11"/>
  <c r="I80" i="11" s="1"/>
  <c r="I44" i="11"/>
  <c r="I32" i="11"/>
  <c r="I81" i="11" s="1"/>
  <c r="C74" i="11"/>
  <c r="D32" i="11"/>
  <c r="D81" i="11" s="1"/>
  <c r="D79" i="11"/>
  <c r="D31" i="11"/>
  <c r="D80" i="11" s="1"/>
  <c r="D44" i="11"/>
  <c r="N56" i="11"/>
  <c r="H32" i="11"/>
  <c r="H81" i="11" s="1"/>
  <c r="H79" i="11"/>
  <c r="H31" i="11"/>
  <c r="H80" i="11" s="1"/>
  <c r="H44" i="11"/>
  <c r="J56" i="11"/>
  <c r="N14" i="11"/>
  <c r="N63" i="11" s="1"/>
  <c r="N64" i="11"/>
  <c r="E79" i="11"/>
  <c r="E31" i="11"/>
  <c r="E80" i="11" s="1"/>
  <c r="E44" i="11"/>
  <c r="E32" i="11"/>
  <c r="E81" i="11" s="1"/>
  <c r="G63" i="11"/>
  <c r="G30" i="11"/>
  <c r="G27" i="11" s="1"/>
  <c r="K30" i="11"/>
  <c r="K27" i="11" s="1"/>
  <c r="J14" i="11"/>
  <c r="J63" i="11" s="1"/>
  <c r="J64" i="11"/>
  <c r="F14" i="11"/>
  <c r="F63" i="11" s="1"/>
  <c r="F64" i="11"/>
  <c r="L32" i="11"/>
  <c r="L81" i="11" s="1"/>
  <c r="L79" i="11"/>
  <c r="L31" i="11"/>
  <c r="L80" i="11" s="1"/>
  <c r="L44" i="11"/>
  <c r="N25" i="11"/>
  <c r="N74" i="11" s="1"/>
  <c r="F30" i="11"/>
  <c r="F27" i="11" s="1"/>
  <c r="F56" i="11"/>
  <c r="O15" i="11"/>
  <c r="O64" i="11" s="1"/>
  <c r="C44" i="10"/>
  <c r="C32" i="10"/>
  <c r="C79" i="10"/>
  <c r="C31" i="10"/>
  <c r="J56" i="10"/>
  <c r="M79" i="10"/>
  <c r="M31" i="10"/>
  <c r="M80" i="10" s="1"/>
  <c r="M44" i="10"/>
  <c r="M75" i="10"/>
  <c r="M32" i="10"/>
  <c r="M81" i="10" s="1"/>
  <c r="H75" i="10"/>
  <c r="G44" i="10"/>
  <c r="G75" i="10"/>
  <c r="G32" i="10"/>
  <c r="G81" i="10" s="1"/>
  <c r="G79" i="10"/>
  <c r="G31" i="10"/>
  <c r="G80" i="10" s="1"/>
  <c r="C63" i="10"/>
  <c r="N56" i="10"/>
  <c r="J14" i="10"/>
  <c r="J63" i="10" s="1"/>
  <c r="J64" i="10"/>
  <c r="I30" i="10"/>
  <c r="I27" i="10" s="1"/>
  <c r="C74" i="10"/>
  <c r="D75" i="10"/>
  <c r="J25" i="10"/>
  <c r="J74" i="10" s="1"/>
  <c r="K63" i="10"/>
  <c r="K30" i="10"/>
  <c r="K27" i="10" s="1"/>
  <c r="L75" i="10"/>
  <c r="E79" i="10"/>
  <c r="E31" i="10"/>
  <c r="E80" i="10" s="1"/>
  <c r="E44" i="10"/>
  <c r="E75" i="10"/>
  <c r="E32" i="10"/>
  <c r="E81" i="10" s="1"/>
  <c r="N14" i="10"/>
  <c r="N63" i="10" s="1"/>
  <c r="N64" i="10"/>
  <c r="N25" i="10"/>
  <c r="N74" i="10" s="1"/>
  <c r="F56" i="10"/>
  <c r="F14" i="10"/>
  <c r="F63" i="10" s="1"/>
  <c r="F64" i="10"/>
  <c r="O15" i="10"/>
  <c r="O64" i="10" s="1"/>
  <c r="J44" i="9"/>
  <c r="J32" i="9"/>
  <c r="J81" i="9" s="1"/>
  <c r="J79" i="9"/>
  <c r="J31" i="9"/>
  <c r="J80" i="9" s="1"/>
  <c r="L31" i="9"/>
  <c r="L80" i="9" s="1"/>
  <c r="L79" i="9"/>
  <c r="L44" i="9"/>
  <c r="L32" i="9"/>
  <c r="L81" i="9" s="1"/>
  <c r="O25" i="9"/>
  <c r="O74" i="9" s="1"/>
  <c r="E56" i="9"/>
  <c r="E30" i="9"/>
  <c r="E27" i="9" s="1"/>
  <c r="H31" i="9"/>
  <c r="H80" i="9" s="1"/>
  <c r="H79" i="9"/>
  <c r="H32" i="9"/>
  <c r="H81" i="9" s="1"/>
  <c r="H44" i="9"/>
  <c r="I56" i="9"/>
  <c r="I30" i="9"/>
  <c r="I27" i="9" s="1"/>
  <c r="E63" i="9"/>
  <c r="O14" i="9"/>
  <c r="O63" i="9" s="1"/>
  <c r="M56" i="9"/>
  <c r="M30" i="9"/>
  <c r="M27" i="9" s="1"/>
  <c r="D31" i="9"/>
  <c r="D80" i="9" s="1"/>
  <c r="D79" i="9"/>
  <c r="D44" i="9"/>
  <c r="D32" i="9"/>
  <c r="D81" i="9" s="1"/>
  <c r="I75" i="8"/>
  <c r="I26" i="8"/>
  <c r="I73" i="8" s="1"/>
  <c r="I29" i="8"/>
  <c r="I76" i="8" s="1"/>
  <c r="I42" i="8"/>
  <c r="I30" i="8"/>
  <c r="I77" i="8" s="1"/>
  <c r="J26" i="8"/>
  <c r="J73" i="8" s="1"/>
  <c r="J42" i="8"/>
  <c r="J30" i="8"/>
  <c r="J77" i="8" s="1"/>
  <c r="J75" i="8"/>
  <c r="J29" i="8"/>
  <c r="J76" i="8" s="1"/>
  <c r="L29" i="8"/>
  <c r="L76" i="8" s="1"/>
  <c r="L75" i="8"/>
  <c r="L42" i="8"/>
  <c r="L30" i="8"/>
  <c r="L77" i="8" s="1"/>
  <c r="L26" i="8"/>
  <c r="L73" i="8" s="1"/>
  <c r="N26" i="8"/>
  <c r="N73" i="8" s="1"/>
  <c r="N42" i="8"/>
  <c r="N30" i="8"/>
  <c r="N77" i="8" s="1"/>
  <c r="N75" i="8"/>
  <c r="N29" i="8"/>
  <c r="N76" i="8" s="1"/>
  <c r="K42" i="8"/>
  <c r="K30" i="8"/>
  <c r="K77" i="8" s="1"/>
  <c r="K29" i="8"/>
  <c r="K76" i="8" s="1"/>
  <c r="K26" i="8"/>
  <c r="K73" i="8" s="1"/>
  <c r="K75" i="8"/>
  <c r="M28" i="8"/>
  <c r="E28" i="8"/>
  <c r="O14" i="8"/>
  <c r="O61" i="8" s="1"/>
  <c r="C61" i="8"/>
  <c r="D29" i="8"/>
  <c r="D76" i="8" s="1"/>
  <c r="D75" i="8"/>
  <c r="D42" i="8"/>
  <c r="D30" i="8"/>
  <c r="D77" i="8" s="1"/>
  <c r="D26" i="8"/>
  <c r="D73" i="8" s="1"/>
  <c r="F26" i="8"/>
  <c r="F73" i="8" s="1"/>
  <c r="F42" i="8"/>
  <c r="F30" i="8"/>
  <c r="F77" i="8" s="1"/>
  <c r="F29" i="8"/>
  <c r="F76" i="8" s="1"/>
  <c r="F75" i="8"/>
  <c r="O25" i="8"/>
  <c r="O72" i="8" s="1"/>
  <c r="C42" i="8"/>
  <c r="C30" i="8"/>
  <c r="C29" i="8"/>
  <c r="C26" i="8"/>
  <c r="C75" i="8"/>
  <c r="M75" i="58"/>
  <c r="M26" i="58"/>
  <c r="M73" i="58" s="1"/>
  <c r="M29" i="58"/>
  <c r="M76" i="58" s="1"/>
  <c r="M42" i="58"/>
  <c r="M30" i="58"/>
  <c r="M77" i="58" s="1"/>
  <c r="I75" i="58"/>
  <c r="I26" i="58"/>
  <c r="I73" i="58" s="1"/>
  <c r="I29" i="58"/>
  <c r="I76" i="58" s="1"/>
  <c r="I42" i="58"/>
  <c r="I30" i="58"/>
  <c r="I77" i="58" s="1"/>
  <c r="O14" i="58"/>
  <c r="O61" i="58" s="1"/>
  <c r="F54" i="58"/>
  <c r="F28" i="58"/>
  <c r="E75" i="58"/>
  <c r="E26" i="58"/>
  <c r="E73" i="58" s="1"/>
  <c r="E29" i="58"/>
  <c r="E76" i="58" s="1"/>
  <c r="E42" i="58"/>
  <c r="E30" i="58"/>
  <c r="E77" i="58" s="1"/>
  <c r="J54" i="58"/>
  <c r="J28" i="58"/>
  <c r="O7" i="58"/>
  <c r="O54" i="58" s="1"/>
  <c r="N54" i="58"/>
  <c r="N28" i="58"/>
  <c r="L29" i="58"/>
  <c r="L76" i="58" s="1"/>
  <c r="L75" i="58"/>
  <c r="L42" i="58"/>
  <c r="L30" i="58"/>
  <c r="L77" i="58" s="1"/>
  <c r="L26" i="58"/>
  <c r="L73" i="58" s="1"/>
  <c r="O25" i="58"/>
  <c r="O72" i="58" s="1"/>
  <c r="M76" i="9" l="1"/>
  <c r="M28" i="9"/>
  <c r="M77" i="9" s="1"/>
  <c r="I76" i="9"/>
  <c r="I28" i="9"/>
  <c r="I77" i="9" s="1"/>
  <c r="I28" i="10"/>
  <c r="I77" i="10" s="1"/>
  <c r="I76" i="10"/>
  <c r="O25" i="11"/>
  <c r="O74" i="11" s="1"/>
  <c r="E44" i="12"/>
  <c r="E27" i="12"/>
  <c r="C44" i="12"/>
  <c r="C27" i="12"/>
  <c r="D63" i="10"/>
  <c r="D30" i="10"/>
  <c r="G63" i="9"/>
  <c r="G30" i="9"/>
  <c r="F27" i="9"/>
  <c r="F79" i="9"/>
  <c r="F44" i="9"/>
  <c r="F32" i="9"/>
  <c r="F81" i="9" s="1"/>
  <c r="F31" i="9"/>
  <c r="F80" i="9" s="1"/>
  <c r="L63" i="10"/>
  <c r="L30" i="10"/>
  <c r="C77" i="11"/>
  <c r="K76" i="11"/>
  <c r="K28" i="11"/>
  <c r="K77" i="11" s="1"/>
  <c r="I44" i="12"/>
  <c r="I27" i="12"/>
  <c r="H61" i="58"/>
  <c r="H28" i="58"/>
  <c r="E76" i="9"/>
  <c r="E28" i="9"/>
  <c r="E77" i="9" s="1"/>
  <c r="K76" i="10"/>
  <c r="K28" i="10"/>
  <c r="K77" i="10" s="1"/>
  <c r="O25" i="10"/>
  <c r="O74" i="10" s="1"/>
  <c r="G76" i="11"/>
  <c r="G28" i="11"/>
  <c r="G77" i="11" s="1"/>
  <c r="K31" i="12"/>
  <c r="K80" i="12" s="1"/>
  <c r="K27" i="12"/>
  <c r="C63" i="9"/>
  <c r="C30" i="9"/>
  <c r="C28" i="58"/>
  <c r="C61" i="58"/>
  <c r="H61" i="8"/>
  <c r="H28" i="8"/>
  <c r="F28" i="11"/>
  <c r="F77" i="11" s="1"/>
  <c r="F76" i="11"/>
  <c r="O14" i="11"/>
  <c r="O63" i="11" s="1"/>
  <c r="M44" i="12"/>
  <c r="M27" i="12"/>
  <c r="G44" i="12"/>
  <c r="G27" i="12"/>
  <c r="G75" i="8"/>
  <c r="G30" i="8"/>
  <c r="G77" i="8" s="1"/>
  <c r="G29" i="8"/>
  <c r="G76" i="8" s="1"/>
  <c r="G42" i="8"/>
  <c r="G26" i="8"/>
  <c r="G73" i="8" s="1"/>
  <c r="K63" i="9"/>
  <c r="K30" i="9"/>
  <c r="H63" i="10"/>
  <c r="H30" i="10"/>
  <c r="D61" i="58"/>
  <c r="D28" i="58"/>
  <c r="C31" i="12"/>
  <c r="C80" i="12" s="1"/>
  <c r="G63" i="12"/>
  <c r="C79" i="12"/>
  <c r="C32" i="12"/>
  <c r="C81" i="12" s="1"/>
  <c r="I32" i="12"/>
  <c r="I81" i="12" s="1"/>
  <c r="I31" i="12"/>
  <c r="I80" i="12" s="1"/>
  <c r="K32" i="12"/>
  <c r="K81" i="12" s="1"/>
  <c r="I79" i="12"/>
  <c r="K44" i="12"/>
  <c r="H30" i="12"/>
  <c r="K79" i="12"/>
  <c r="D30" i="12"/>
  <c r="F30" i="12"/>
  <c r="F27" i="12" s="1"/>
  <c r="O14" i="12"/>
  <c r="O63" i="12" s="1"/>
  <c r="G79" i="12"/>
  <c r="G31" i="12"/>
  <c r="G80" i="12" s="1"/>
  <c r="G32" i="12"/>
  <c r="G81" i="12" s="1"/>
  <c r="O25" i="12"/>
  <c r="O74" i="12" s="1"/>
  <c r="N30" i="12"/>
  <c r="N27" i="12" s="1"/>
  <c r="M79" i="12"/>
  <c r="M31" i="12"/>
  <c r="M80" i="12" s="1"/>
  <c r="M32" i="12"/>
  <c r="M81" i="12" s="1"/>
  <c r="E79" i="12"/>
  <c r="E31" i="12"/>
  <c r="E80" i="12" s="1"/>
  <c r="E32" i="12"/>
  <c r="E81" i="12" s="1"/>
  <c r="J30" i="12"/>
  <c r="L30" i="12"/>
  <c r="K44" i="11"/>
  <c r="K32" i="11"/>
  <c r="K81" i="11" s="1"/>
  <c r="K79" i="11"/>
  <c r="K31" i="11"/>
  <c r="K80" i="11" s="1"/>
  <c r="F44" i="11"/>
  <c r="F32" i="11"/>
  <c r="F81" i="11" s="1"/>
  <c r="F79" i="11"/>
  <c r="F31" i="11"/>
  <c r="F80" i="11" s="1"/>
  <c r="G44" i="11"/>
  <c r="G32" i="11"/>
  <c r="G81" i="11" s="1"/>
  <c r="G79" i="11"/>
  <c r="G31" i="11"/>
  <c r="G80" i="11" s="1"/>
  <c r="N30" i="11"/>
  <c r="N27" i="11" s="1"/>
  <c r="C80" i="11"/>
  <c r="C81" i="11"/>
  <c r="J30" i="11"/>
  <c r="J27" i="11" s="1"/>
  <c r="K44" i="10"/>
  <c r="K75" i="10"/>
  <c r="K32" i="10"/>
  <c r="K81" i="10" s="1"/>
  <c r="K79" i="10"/>
  <c r="K31" i="10"/>
  <c r="K80" i="10" s="1"/>
  <c r="J30" i="10"/>
  <c r="J27" i="10" s="1"/>
  <c r="C81" i="10"/>
  <c r="F30" i="10"/>
  <c r="F27" i="10" s="1"/>
  <c r="I79" i="10"/>
  <c r="I31" i="10"/>
  <c r="I80" i="10" s="1"/>
  <c r="I44" i="10"/>
  <c r="I75" i="10"/>
  <c r="I32" i="10"/>
  <c r="I81" i="10" s="1"/>
  <c r="N30" i="10"/>
  <c r="N27" i="10" s="1"/>
  <c r="C75" i="10"/>
  <c r="O14" i="10"/>
  <c r="O63" i="10" s="1"/>
  <c r="C80" i="10"/>
  <c r="M79" i="9"/>
  <c r="M44" i="9"/>
  <c r="M32" i="9"/>
  <c r="M81" i="9" s="1"/>
  <c r="M31" i="9"/>
  <c r="M80" i="9" s="1"/>
  <c r="I79" i="9"/>
  <c r="I44" i="9"/>
  <c r="I32" i="9"/>
  <c r="I81" i="9" s="1"/>
  <c r="I31" i="9"/>
  <c r="I80" i="9" s="1"/>
  <c r="E79" i="9"/>
  <c r="E44" i="9"/>
  <c r="E32" i="9"/>
  <c r="E81" i="9" s="1"/>
  <c r="E31" i="9"/>
  <c r="E80" i="9" s="1"/>
  <c r="E75" i="8"/>
  <c r="E26" i="8"/>
  <c r="E73" i="8" s="1"/>
  <c r="E42" i="8"/>
  <c r="E30" i="8"/>
  <c r="E77" i="8" s="1"/>
  <c r="E29" i="8"/>
  <c r="E76" i="8" s="1"/>
  <c r="O28" i="8"/>
  <c r="O75" i="8" s="1"/>
  <c r="C77" i="8"/>
  <c r="M75" i="8"/>
  <c r="M26" i="8"/>
  <c r="M73" i="8" s="1"/>
  <c r="M29" i="8"/>
  <c r="M76" i="8" s="1"/>
  <c r="M30" i="8"/>
  <c r="M77" i="8" s="1"/>
  <c r="M42" i="8"/>
  <c r="C76" i="8"/>
  <c r="C73" i="8"/>
  <c r="F26" i="58"/>
  <c r="F42" i="58"/>
  <c r="F30" i="58"/>
  <c r="F77" i="58" s="1"/>
  <c r="F75" i="58"/>
  <c r="F29" i="58"/>
  <c r="F76" i="58" s="1"/>
  <c r="N26" i="58"/>
  <c r="N73" i="58" s="1"/>
  <c r="N42" i="58"/>
  <c r="N30" i="58"/>
  <c r="N77" i="58" s="1"/>
  <c r="N75" i="58"/>
  <c r="N29" i="58"/>
  <c r="N76" i="58" s="1"/>
  <c r="J26" i="58"/>
  <c r="J73" i="58" s="1"/>
  <c r="J42" i="58"/>
  <c r="J30" i="58"/>
  <c r="J77" i="58" s="1"/>
  <c r="J75" i="58"/>
  <c r="J29" i="58"/>
  <c r="J76" i="58" s="1"/>
  <c r="O28" i="58"/>
  <c r="O75" i="58" s="1"/>
  <c r="F28" i="10" l="1"/>
  <c r="F76" i="10"/>
  <c r="J28" i="11"/>
  <c r="J77" i="11" s="1"/>
  <c r="J76" i="11"/>
  <c r="O30" i="11"/>
  <c r="O79" i="11" s="1"/>
  <c r="D32" i="12"/>
  <c r="D81" i="12" s="1"/>
  <c r="D27" i="12"/>
  <c r="D75" i="58"/>
  <c r="D42" i="58"/>
  <c r="D30" i="58"/>
  <c r="D77" i="58" s="1"/>
  <c r="D29" i="58"/>
  <c r="D76" i="58" s="1"/>
  <c r="D26" i="58"/>
  <c r="D73" i="58" s="1"/>
  <c r="O27" i="11"/>
  <c r="O76" i="11" s="1"/>
  <c r="G76" i="12"/>
  <c r="G28" i="12"/>
  <c r="G77" i="12" s="1"/>
  <c r="I76" i="12"/>
  <c r="I28" i="12"/>
  <c r="I77" i="12" s="1"/>
  <c r="F76" i="9"/>
  <c r="F28" i="9"/>
  <c r="F77" i="9" s="1"/>
  <c r="L44" i="12"/>
  <c r="L27" i="12"/>
  <c r="N28" i="12"/>
  <c r="N77" i="12" s="1"/>
  <c r="N76" i="12"/>
  <c r="K27" i="9"/>
  <c r="K32" i="9"/>
  <c r="K81" i="9" s="1"/>
  <c r="K31" i="9"/>
  <c r="K80" i="9" s="1"/>
  <c r="K79" i="9"/>
  <c r="K44" i="9"/>
  <c r="K76" i="12"/>
  <c r="K28" i="12"/>
  <c r="K77" i="12" s="1"/>
  <c r="G27" i="9"/>
  <c r="G31" i="9"/>
  <c r="G80" i="9" s="1"/>
  <c r="G79" i="9"/>
  <c r="G44" i="9"/>
  <c r="G32" i="9"/>
  <c r="G81" i="9" s="1"/>
  <c r="C28" i="12"/>
  <c r="C76" i="12"/>
  <c r="N76" i="10"/>
  <c r="N28" i="10"/>
  <c r="N77" i="10" s="1"/>
  <c r="J28" i="10"/>
  <c r="J77" i="10" s="1"/>
  <c r="J76" i="10"/>
  <c r="J44" i="12"/>
  <c r="J27" i="12"/>
  <c r="H44" i="12"/>
  <c r="H27" i="12"/>
  <c r="H27" i="10"/>
  <c r="H44" i="10"/>
  <c r="H32" i="10"/>
  <c r="H81" i="10" s="1"/>
  <c r="H79" i="10"/>
  <c r="H31" i="10"/>
  <c r="H80" i="10" s="1"/>
  <c r="M76" i="12"/>
  <c r="M28" i="12"/>
  <c r="M77" i="12" s="1"/>
  <c r="C26" i="58"/>
  <c r="C73" i="58" s="1"/>
  <c r="C42" i="58"/>
  <c r="O42" i="58" s="1"/>
  <c r="C75" i="58"/>
  <c r="C30" i="58"/>
  <c r="C29" i="58"/>
  <c r="C76" i="58" s="1"/>
  <c r="H29" i="58"/>
  <c r="H76" i="58" s="1"/>
  <c r="H26" i="58"/>
  <c r="H73" i="58" s="1"/>
  <c r="H75" i="58"/>
  <c r="H42" i="58"/>
  <c r="H30" i="58"/>
  <c r="H77" i="58" s="1"/>
  <c r="L27" i="10"/>
  <c r="L31" i="10"/>
  <c r="L80" i="10" s="1"/>
  <c r="L32" i="10"/>
  <c r="L81" i="10" s="1"/>
  <c r="L44" i="10"/>
  <c r="L79" i="10"/>
  <c r="N76" i="11"/>
  <c r="N28" i="11"/>
  <c r="N77" i="11" s="1"/>
  <c r="F28" i="12"/>
  <c r="F77" i="12" s="1"/>
  <c r="F76" i="12"/>
  <c r="H29" i="8"/>
  <c r="H30" i="8"/>
  <c r="H75" i="8"/>
  <c r="H42" i="8"/>
  <c r="O42" i="8" s="1"/>
  <c r="H26" i="8"/>
  <c r="C27" i="9"/>
  <c r="C44" i="9"/>
  <c r="O44" i="9" s="1"/>
  <c r="O30" i="9"/>
  <c r="O79" i="9" s="1"/>
  <c r="C32" i="9"/>
  <c r="C81" i="9" s="1"/>
  <c r="C31" i="9"/>
  <c r="C80" i="9" s="1"/>
  <c r="C79" i="9"/>
  <c r="D27" i="10"/>
  <c r="D31" i="10"/>
  <c r="D80" i="10" s="1"/>
  <c r="D32" i="10"/>
  <c r="D81" i="10" s="1"/>
  <c r="D44" i="10"/>
  <c r="D79" i="10"/>
  <c r="E76" i="12"/>
  <c r="E28" i="12"/>
  <c r="E77" i="12" s="1"/>
  <c r="F79" i="12"/>
  <c r="F44" i="12"/>
  <c r="H31" i="12"/>
  <c r="H80" i="12" s="1"/>
  <c r="D79" i="12"/>
  <c r="D44" i="12"/>
  <c r="H32" i="12"/>
  <c r="H81" i="12" s="1"/>
  <c r="H79" i="12"/>
  <c r="F31" i="12"/>
  <c r="F80" i="12" s="1"/>
  <c r="D31" i="12"/>
  <c r="D80" i="12" s="1"/>
  <c r="F32" i="12"/>
  <c r="F81" i="12" s="1"/>
  <c r="J32" i="12"/>
  <c r="J81" i="12" s="1"/>
  <c r="J31" i="12"/>
  <c r="J80" i="12" s="1"/>
  <c r="J79" i="12"/>
  <c r="L32" i="12"/>
  <c r="L81" i="12" s="1"/>
  <c r="L79" i="12"/>
  <c r="L31" i="12"/>
  <c r="L80" i="12" s="1"/>
  <c r="O30" i="12"/>
  <c r="O79" i="12" s="1"/>
  <c r="N32" i="12"/>
  <c r="N81" i="12" s="1"/>
  <c r="N79" i="12"/>
  <c r="N31" i="12"/>
  <c r="N80" i="12" s="1"/>
  <c r="N44" i="12"/>
  <c r="N44" i="11"/>
  <c r="N32" i="11"/>
  <c r="N81" i="11" s="1"/>
  <c r="N79" i="11"/>
  <c r="N31" i="11"/>
  <c r="N80" i="11" s="1"/>
  <c r="J44" i="11"/>
  <c r="O44" i="11" s="1"/>
  <c r="J79" i="11"/>
  <c r="J32" i="11"/>
  <c r="J31" i="11"/>
  <c r="J80" i="11" s="1"/>
  <c r="O31" i="11"/>
  <c r="O80" i="11" s="1"/>
  <c r="J44" i="10"/>
  <c r="J75" i="10"/>
  <c r="J32" i="10"/>
  <c r="J81" i="10" s="1"/>
  <c r="J79" i="10"/>
  <c r="J31" i="10"/>
  <c r="J80" i="10" s="1"/>
  <c r="N44" i="10"/>
  <c r="N75" i="10"/>
  <c r="N79" i="10"/>
  <c r="N32" i="10"/>
  <c r="N81" i="10" s="1"/>
  <c r="N31" i="10"/>
  <c r="N80" i="10" s="1"/>
  <c r="F79" i="10"/>
  <c r="F44" i="10"/>
  <c r="F32" i="10"/>
  <c r="F31" i="10"/>
  <c r="O30" i="10"/>
  <c r="O79" i="10" s="1"/>
  <c r="O31" i="9"/>
  <c r="O80" i="9" s="1"/>
  <c r="O32" i="9"/>
  <c r="O81" i="9" s="1"/>
  <c r="O29" i="58"/>
  <c r="O76" i="58" s="1"/>
  <c r="F73" i="58"/>
  <c r="O26" i="58"/>
  <c r="O73" i="58" s="1"/>
  <c r="D76" i="10" l="1"/>
  <c r="D28" i="10"/>
  <c r="D77" i="10" s="1"/>
  <c r="O27" i="10"/>
  <c r="O76" i="10" s="1"/>
  <c r="L76" i="10"/>
  <c r="L28" i="10"/>
  <c r="L77" i="10" s="1"/>
  <c r="J76" i="12"/>
  <c r="J28" i="12"/>
  <c r="J77" i="12" s="1"/>
  <c r="C77" i="12"/>
  <c r="K76" i="9"/>
  <c r="K28" i="9"/>
  <c r="K77" i="9" s="1"/>
  <c r="F77" i="10"/>
  <c r="O44" i="10"/>
  <c r="H76" i="10"/>
  <c r="H28" i="10"/>
  <c r="H77" i="10" s="1"/>
  <c r="G28" i="9"/>
  <c r="G77" i="9" s="1"/>
  <c r="G76" i="9"/>
  <c r="C28" i="9"/>
  <c r="C76" i="9"/>
  <c r="O27" i="9"/>
  <c r="O76" i="9" s="1"/>
  <c r="H77" i="8"/>
  <c r="O30" i="8"/>
  <c r="O77" i="8" s="1"/>
  <c r="H28" i="12"/>
  <c r="H77" i="12" s="1"/>
  <c r="H76" i="12"/>
  <c r="O27" i="12"/>
  <c r="O76" i="12" s="1"/>
  <c r="D76" i="12"/>
  <c r="D28" i="12"/>
  <c r="D77" i="12" s="1"/>
  <c r="H73" i="8"/>
  <c r="O26" i="8"/>
  <c r="O73" i="8" s="1"/>
  <c r="H76" i="8"/>
  <c r="O29" i="8"/>
  <c r="O76" i="8" s="1"/>
  <c r="C77" i="58"/>
  <c r="O30" i="58"/>
  <c r="O77" i="58" s="1"/>
  <c r="L76" i="12"/>
  <c r="L28" i="12"/>
  <c r="L77" i="12" s="1"/>
  <c r="O28" i="11"/>
  <c r="O77" i="11" s="1"/>
  <c r="O32" i="12"/>
  <c r="O31" i="12"/>
  <c r="O80" i="12" s="1"/>
  <c r="O44" i="12"/>
  <c r="J81" i="11"/>
  <c r="O32" i="11"/>
  <c r="F81" i="10"/>
  <c r="O32" i="10"/>
  <c r="F80" i="10"/>
  <c r="O31" i="10"/>
  <c r="O80" i="10" s="1"/>
  <c r="F75" i="10"/>
  <c r="O75" i="10"/>
  <c r="O28" i="10" l="1"/>
  <c r="O77" i="10" s="1"/>
  <c r="C77" i="9"/>
  <c r="O28" i="9"/>
  <c r="O77" i="9" s="1"/>
  <c r="O28" i="12"/>
  <c r="O77" i="12" s="1"/>
  <c r="O81" i="12"/>
  <c r="R32" i="12"/>
  <c r="O81" i="11"/>
  <c r="R32" i="11"/>
  <c r="O81" i="10"/>
  <c r="R32" i="10"/>
  <c r="F44" i="48" l="1"/>
  <c r="D44" i="48"/>
  <c r="G42" i="48"/>
  <c r="H42" i="48" s="1"/>
  <c r="F42" i="48"/>
  <c r="D42" i="48"/>
  <c r="G41" i="48"/>
  <c r="H41" i="48" s="1"/>
  <c r="D41" i="48"/>
  <c r="G40" i="48"/>
  <c r="H40" i="48" s="1"/>
  <c r="F40" i="48"/>
  <c r="D40" i="48"/>
  <c r="F39" i="48"/>
  <c r="C38" i="48"/>
  <c r="E38" i="48"/>
  <c r="G36" i="48"/>
  <c r="H36" i="48" s="1"/>
  <c r="F36" i="48"/>
  <c r="D36" i="48"/>
  <c r="G35" i="48"/>
  <c r="H35" i="48" s="1"/>
  <c r="F35" i="48"/>
  <c r="D35" i="48"/>
  <c r="E34" i="48"/>
  <c r="F34" i="48" s="1"/>
  <c r="G33" i="48"/>
  <c r="H33" i="48" s="1"/>
  <c r="D33" i="48"/>
  <c r="G32" i="48"/>
  <c r="H32" i="48" s="1"/>
  <c r="F32" i="48"/>
  <c r="D32" i="48"/>
  <c r="G31" i="48"/>
  <c r="H31" i="48" s="1"/>
  <c r="F31" i="48"/>
  <c r="D31" i="48"/>
  <c r="G30" i="48"/>
  <c r="H30" i="48" s="1"/>
  <c r="F30" i="48"/>
  <c r="D30" i="48"/>
  <c r="G29" i="48"/>
  <c r="H29" i="48" s="1"/>
  <c r="F29" i="48"/>
  <c r="D29" i="48"/>
  <c r="C28" i="48"/>
  <c r="D28" i="48" s="1"/>
  <c r="G27" i="48"/>
  <c r="H27" i="48" s="1"/>
  <c r="D27" i="48"/>
  <c r="G26" i="48"/>
  <c r="H26" i="48" s="1"/>
  <c r="F26" i="48"/>
  <c r="D26" i="48"/>
  <c r="G25" i="48"/>
  <c r="H25" i="48" s="1"/>
  <c r="F25" i="48"/>
  <c r="D25" i="48"/>
  <c r="G24" i="48"/>
  <c r="H24" i="48" s="1"/>
  <c r="F24" i="48"/>
  <c r="D24" i="48"/>
  <c r="C23" i="48"/>
  <c r="G16" i="48"/>
  <c r="H16" i="48" s="1"/>
  <c r="F16" i="48"/>
  <c r="D16" i="48"/>
  <c r="G15" i="48"/>
  <c r="H15" i="48" s="1"/>
  <c r="F15" i="48"/>
  <c r="D15" i="48"/>
  <c r="G14" i="48"/>
  <c r="H14" i="48" s="1"/>
  <c r="D14" i="48"/>
  <c r="C13" i="48"/>
  <c r="G11" i="48"/>
  <c r="H11" i="48" s="1"/>
  <c r="F11" i="48"/>
  <c r="D11" i="48"/>
  <c r="G10" i="48"/>
  <c r="H10" i="48" s="1"/>
  <c r="F10" i="48"/>
  <c r="D10" i="48"/>
  <c r="G9" i="48"/>
  <c r="H9" i="48" s="1"/>
  <c r="F9" i="48"/>
  <c r="D9" i="48"/>
  <c r="E8" i="48"/>
  <c r="C8" i="48"/>
  <c r="D8" i="48" s="1"/>
  <c r="AB24" i="47"/>
  <c r="Z24" i="47"/>
  <c r="X24" i="47"/>
  <c r="V24" i="47"/>
  <c r="T24" i="47"/>
  <c r="R24" i="47"/>
  <c r="P24" i="47"/>
  <c r="N24" i="47"/>
  <c r="L24" i="47"/>
  <c r="J24" i="47"/>
  <c r="H24" i="47"/>
  <c r="AB23" i="47"/>
  <c r="Y23" i="47"/>
  <c r="Z23" i="47" s="1"/>
  <c r="W23" i="47"/>
  <c r="X23" i="47" s="1"/>
  <c r="U23" i="47"/>
  <c r="V23" i="47" s="1"/>
  <c r="S23" i="47"/>
  <c r="T23" i="47" s="1"/>
  <c r="Q23" i="47"/>
  <c r="R23" i="47" s="1"/>
  <c r="O23" i="47"/>
  <c r="P23" i="47" s="1"/>
  <c r="M23" i="47"/>
  <c r="N23" i="47" s="1"/>
  <c r="K23" i="47"/>
  <c r="L23" i="47" s="1"/>
  <c r="I23" i="47"/>
  <c r="J23" i="47" s="1"/>
  <c r="G23" i="47"/>
  <c r="H23" i="47" s="1"/>
  <c r="AB19" i="47"/>
  <c r="Z19" i="47"/>
  <c r="X19" i="47"/>
  <c r="V19" i="47"/>
  <c r="T19" i="47"/>
  <c r="R19" i="47"/>
  <c r="P19" i="47"/>
  <c r="N19" i="47"/>
  <c r="L19" i="47"/>
  <c r="J19" i="47"/>
  <c r="H19" i="47"/>
  <c r="F19" i="47"/>
  <c r="D19" i="47"/>
  <c r="AB17" i="47"/>
  <c r="Z17" i="47"/>
  <c r="X17" i="47"/>
  <c r="V17" i="47"/>
  <c r="AB16" i="47"/>
  <c r="Z16" i="47"/>
  <c r="X16" i="47"/>
  <c r="V16" i="47"/>
  <c r="T16" i="47"/>
  <c r="R16" i="47"/>
  <c r="P16" i="47"/>
  <c r="N16" i="47"/>
  <c r="L16" i="47"/>
  <c r="J16" i="47"/>
  <c r="H16" i="47"/>
  <c r="F16" i="47"/>
  <c r="D16" i="47"/>
  <c r="AB15" i="47"/>
  <c r="Z15" i="47"/>
  <c r="X15" i="47"/>
  <c r="V15" i="47"/>
  <c r="T15" i="47"/>
  <c r="R15" i="47"/>
  <c r="P15" i="47"/>
  <c r="N15" i="47"/>
  <c r="L15" i="47"/>
  <c r="J15" i="47"/>
  <c r="H15" i="47"/>
  <c r="F15" i="47"/>
  <c r="D15" i="47"/>
  <c r="AA14" i="47"/>
  <c r="AB14" i="47" s="1"/>
  <c r="Y14" i="47"/>
  <c r="Z14" i="47" s="1"/>
  <c r="W14" i="47"/>
  <c r="X14" i="47" s="1"/>
  <c r="U14" i="47"/>
  <c r="S14" i="47"/>
  <c r="T14" i="47" s="1"/>
  <c r="Q14" i="47"/>
  <c r="R14" i="47" s="1"/>
  <c r="O14" i="47"/>
  <c r="P14" i="47" s="1"/>
  <c r="M14" i="47"/>
  <c r="N14" i="47" s="1"/>
  <c r="K14" i="47"/>
  <c r="L14" i="47" s="1"/>
  <c r="I14" i="47"/>
  <c r="J14" i="47" s="1"/>
  <c r="G14" i="47"/>
  <c r="H14" i="47" s="1"/>
  <c r="E14" i="47"/>
  <c r="C14" i="47"/>
  <c r="D14" i="47" s="1"/>
  <c r="AB12" i="47"/>
  <c r="Z12" i="47"/>
  <c r="X12" i="47"/>
  <c r="V12" i="47"/>
  <c r="T12" i="47"/>
  <c r="R12" i="47"/>
  <c r="P12" i="47"/>
  <c r="N12" i="47"/>
  <c r="L12" i="47"/>
  <c r="J12" i="47"/>
  <c r="H12" i="47"/>
  <c r="F12" i="47"/>
  <c r="D12" i="47"/>
  <c r="AB11" i="47"/>
  <c r="Z11" i="47"/>
  <c r="X11" i="47"/>
  <c r="V11" i="47"/>
  <c r="T11" i="47"/>
  <c r="R11" i="47"/>
  <c r="P11" i="47"/>
  <c r="N11" i="47"/>
  <c r="L11" i="47"/>
  <c r="J11" i="47"/>
  <c r="H11" i="47"/>
  <c r="F11" i="47"/>
  <c r="D11" i="47"/>
  <c r="AB10" i="47"/>
  <c r="Z10" i="47"/>
  <c r="X10" i="47"/>
  <c r="V10" i="47"/>
  <c r="T10" i="47"/>
  <c r="R10" i="47"/>
  <c r="P10" i="47"/>
  <c r="N10" i="47"/>
  <c r="L10" i="47"/>
  <c r="J10" i="47"/>
  <c r="H10" i="47"/>
  <c r="F10" i="47"/>
  <c r="D10" i="47"/>
  <c r="AA9" i="47"/>
  <c r="Y9" i="47"/>
  <c r="Z9" i="47" s="1"/>
  <c r="W9" i="47"/>
  <c r="W7" i="47" s="1"/>
  <c r="U9" i="47"/>
  <c r="V9" i="47" s="1"/>
  <c r="S9" i="47"/>
  <c r="S7" i="47" s="1"/>
  <c r="Q9" i="47"/>
  <c r="Q7" i="47" s="1"/>
  <c r="R7" i="47" s="1"/>
  <c r="O9" i="47"/>
  <c r="M9" i="47"/>
  <c r="N9" i="47" s="1"/>
  <c r="K9" i="47"/>
  <c r="K7" i="47" s="1"/>
  <c r="I9" i="47"/>
  <c r="J9" i="47" s="1"/>
  <c r="G9" i="47"/>
  <c r="E9" i="47"/>
  <c r="F9" i="47" s="1"/>
  <c r="C9" i="47"/>
  <c r="C7" i="47" s="1"/>
  <c r="D7" i="47" s="1"/>
  <c r="Y7" i="47"/>
  <c r="Z7" i="47" s="1"/>
  <c r="F86" i="44"/>
  <c r="E86" i="44"/>
  <c r="F85" i="44"/>
  <c r="E85" i="44"/>
  <c r="F84" i="44"/>
  <c r="E84" i="44"/>
  <c r="D83" i="44"/>
  <c r="F83" i="44" s="1"/>
  <c r="C83" i="44"/>
  <c r="E83" i="44" s="1"/>
  <c r="F82" i="44"/>
  <c r="E82" i="44"/>
  <c r="F81" i="44"/>
  <c r="E81" i="44"/>
  <c r="F80" i="44"/>
  <c r="E80" i="44"/>
  <c r="F78" i="44"/>
  <c r="E78" i="44"/>
  <c r="F77" i="44"/>
  <c r="E77" i="44"/>
  <c r="F76" i="44"/>
  <c r="E76" i="44"/>
  <c r="F75" i="44"/>
  <c r="E75" i="44"/>
  <c r="F73" i="44"/>
  <c r="E73" i="44"/>
  <c r="F72" i="44"/>
  <c r="E72" i="44"/>
  <c r="F71" i="44"/>
  <c r="E71" i="44"/>
  <c r="F69" i="44"/>
  <c r="E69" i="44"/>
  <c r="F67" i="44"/>
  <c r="E67" i="44"/>
  <c r="F66" i="44"/>
  <c r="E66" i="44"/>
  <c r="F64" i="44"/>
  <c r="E64" i="44"/>
  <c r="F63" i="44"/>
  <c r="E63" i="44"/>
  <c r="F61" i="44"/>
  <c r="E61" i="44"/>
  <c r="D60" i="44"/>
  <c r="F60" i="44" s="1"/>
  <c r="C60" i="44"/>
  <c r="E60" i="44" s="1"/>
  <c r="F59" i="44"/>
  <c r="E59" i="44"/>
  <c r="F58" i="44"/>
  <c r="E58" i="44"/>
  <c r="F57" i="44"/>
  <c r="E57" i="44"/>
  <c r="F55" i="44"/>
  <c r="E55" i="44"/>
  <c r="F44" i="44"/>
  <c r="E44" i="44"/>
  <c r="F43" i="44"/>
  <c r="E43" i="44"/>
  <c r="F42" i="44"/>
  <c r="E42" i="44"/>
  <c r="F41" i="44"/>
  <c r="E41" i="44"/>
  <c r="F40" i="44"/>
  <c r="E40" i="44"/>
  <c r="F39" i="44"/>
  <c r="E39" i="44"/>
  <c r="F38" i="44"/>
  <c r="E38" i="44"/>
  <c r="F37" i="44"/>
  <c r="E37" i="44"/>
  <c r="F35" i="44"/>
  <c r="E35" i="44"/>
  <c r="F34" i="44"/>
  <c r="E34" i="44"/>
  <c r="F33" i="44"/>
  <c r="E33" i="44"/>
  <c r="F32" i="44"/>
  <c r="E32" i="44"/>
  <c r="F31" i="44"/>
  <c r="E31" i="44"/>
  <c r="F30" i="44"/>
  <c r="E30" i="44"/>
  <c r="F29" i="44"/>
  <c r="E29" i="44"/>
  <c r="F28" i="44"/>
  <c r="E28" i="44"/>
  <c r="F27" i="44"/>
  <c r="E27" i="44"/>
  <c r="F26" i="44"/>
  <c r="E26" i="44"/>
  <c r="F25" i="44"/>
  <c r="E25" i="44"/>
  <c r="F24" i="44"/>
  <c r="E24" i="44"/>
  <c r="F23" i="44"/>
  <c r="E23" i="44"/>
  <c r="F22" i="44"/>
  <c r="E22" i="44"/>
  <c r="F21" i="44"/>
  <c r="E21" i="44"/>
  <c r="F20" i="44"/>
  <c r="E20" i="44"/>
  <c r="F19" i="44"/>
  <c r="E19" i="44"/>
  <c r="F18" i="44"/>
  <c r="E18" i="44"/>
  <c r="F16" i="44"/>
  <c r="E16" i="44"/>
  <c r="F15" i="44"/>
  <c r="E15" i="44"/>
  <c r="F14" i="44"/>
  <c r="E14" i="44"/>
  <c r="D13" i="44"/>
  <c r="C13" i="44"/>
  <c r="N94" i="7"/>
  <c r="M94" i="7"/>
  <c r="L94" i="7"/>
  <c r="K94" i="7"/>
  <c r="J94" i="7"/>
  <c r="I94" i="7"/>
  <c r="H94" i="7"/>
  <c r="G94" i="7"/>
  <c r="F94" i="7"/>
  <c r="E94" i="7"/>
  <c r="D94" i="7"/>
  <c r="C94" i="7"/>
  <c r="N88" i="7"/>
  <c r="M88" i="7"/>
  <c r="L88" i="7"/>
  <c r="K88" i="7"/>
  <c r="J88" i="7"/>
  <c r="I88" i="7"/>
  <c r="H88" i="7"/>
  <c r="G88" i="7"/>
  <c r="F88" i="7"/>
  <c r="E88" i="7"/>
  <c r="D88" i="7"/>
  <c r="C88" i="7"/>
  <c r="N87" i="7"/>
  <c r="M87" i="7"/>
  <c r="L87" i="7"/>
  <c r="K87" i="7"/>
  <c r="J87" i="7"/>
  <c r="I87" i="7"/>
  <c r="H87" i="7"/>
  <c r="G87" i="7"/>
  <c r="F87" i="7"/>
  <c r="E87" i="7"/>
  <c r="D87" i="7"/>
  <c r="C87" i="7"/>
  <c r="N86" i="7"/>
  <c r="M86" i="7"/>
  <c r="L86" i="7"/>
  <c r="K86" i="7"/>
  <c r="J86" i="7"/>
  <c r="I86" i="7"/>
  <c r="H86" i="7"/>
  <c r="G86" i="7"/>
  <c r="F86" i="7"/>
  <c r="E86" i="7"/>
  <c r="D86" i="7"/>
  <c r="C86" i="7"/>
  <c r="N85" i="7"/>
  <c r="M85" i="7"/>
  <c r="L85" i="7"/>
  <c r="K85" i="7"/>
  <c r="J85" i="7"/>
  <c r="I85" i="7"/>
  <c r="H85" i="7"/>
  <c r="G85" i="7"/>
  <c r="F85" i="7"/>
  <c r="E85" i="7"/>
  <c r="D85" i="7"/>
  <c r="C85" i="7"/>
  <c r="N84" i="7"/>
  <c r="M84" i="7"/>
  <c r="L84" i="7"/>
  <c r="K84" i="7"/>
  <c r="J84" i="7"/>
  <c r="I84" i="7"/>
  <c r="H84" i="7"/>
  <c r="G84" i="7"/>
  <c r="F84" i="7"/>
  <c r="E84" i="7"/>
  <c r="D84" i="7"/>
  <c r="C84" i="7"/>
  <c r="N83" i="7"/>
  <c r="M83" i="7"/>
  <c r="L83" i="7"/>
  <c r="K83" i="7"/>
  <c r="J83" i="7"/>
  <c r="I83" i="7"/>
  <c r="H83" i="7"/>
  <c r="G83" i="7"/>
  <c r="F83" i="7"/>
  <c r="E83" i="7"/>
  <c r="D83" i="7"/>
  <c r="C83" i="7"/>
  <c r="N82" i="7"/>
  <c r="M82" i="7"/>
  <c r="L82" i="7"/>
  <c r="K82" i="7"/>
  <c r="J82" i="7"/>
  <c r="I82" i="7"/>
  <c r="H82" i="7"/>
  <c r="G82" i="7"/>
  <c r="F82" i="7"/>
  <c r="E82" i="7"/>
  <c r="D82" i="7"/>
  <c r="C82" i="7"/>
  <c r="N80" i="7"/>
  <c r="M80" i="7"/>
  <c r="L80" i="7"/>
  <c r="K80" i="7"/>
  <c r="J80" i="7"/>
  <c r="I80" i="7"/>
  <c r="H80" i="7"/>
  <c r="G80" i="7"/>
  <c r="F80" i="7"/>
  <c r="E80" i="7"/>
  <c r="D80" i="7"/>
  <c r="C80" i="7"/>
  <c r="N79" i="7"/>
  <c r="M79" i="7"/>
  <c r="L79" i="7"/>
  <c r="K79" i="7"/>
  <c r="J79" i="7"/>
  <c r="I79" i="7"/>
  <c r="H79" i="7"/>
  <c r="G79" i="7"/>
  <c r="F79" i="7"/>
  <c r="E79" i="7"/>
  <c r="D79" i="7"/>
  <c r="C79" i="7"/>
  <c r="N71" i="7"/>
  <c r="M71" i="7"/>
  <c r="L71" i="7"/>
  <c r="K71" i="7"/>
  <c r="J71" i="7"/>
  <c r="I71" i="7"/>
  <c r="H71" i="7"/>
  <c r="G71" i="7"/>
  <c r="F71" i="7"/>
  <c r="E71" i="7"/>
  <c r="D71" i="7"/>
  <c r="C71" i="7"/>
  <c r="N70" i="7"/>
  <c r="M70" i="7"/>
  <c r="L70" i="7"/>
  <c r="K70" i="7"/>
  <c r="J70" i="7"/>
  <c r="I70" i="7"/>
  <c r="H70" i="7"/>
  <c r="G70" i="7"/>
  <c r="F70" i="7"/>
  <c r="E70" i="7"/>
  <c r="D70" i="7"/>
  <c r="C70" i="7"/>
  <c r="N69" i="7"/>
  <c r="M69" i="7"/>
  <c r="L69" i="7"/>
  <c r="K69" i="7"/>
  <c r="J69" i="7"/>
  <c r="I69" i="7"/>
  <c r="H69" i="7"/>
  <c r="G69" i="7"/>
  <c r="F69" i="7"/>
  <c r="E69" i="7"/>
  <c r="D69" i="7"/>
  <c r="C69" i="7"/>
  <c r="N67" i="7"/>
  <c r="M67" i="7"/>
  <c r="L67" i="7"/>
  <c r="K67" i="7"/>
  <c r="J67" i="7"/>
  <c r="I67" i="7"/>
  <c r="H67" i="7"/>
  <c r="G67" i="7"/>
  <c r="F67" i="7"/>
  <c r="E67" i="7"/>
  <c r="D67" i="7"/>
  <c r="C67" i="7"/>
  <c r="N66" i="7"/>
  <c r="M66" i="7"/>
  <c r="L66" i="7"/>
  <c r="K66" i="7"/>
  <c r="J66" i="7"/>
  <c r="I66" i="7"/>
  <c r="H66" i="7"/>
  <c r="G66" i="7"/>
  <c r="F66" i="7"/>
  <c r="E66" i="7"/>
  <c r="D66" i="7"/>
  <c r="C66" i="7"/>
  <c r="N65" i="7"/>
  <c r="M65" i="7"/>
  <c r="L65" i="7"/>
  <c r="K65" i="7"/>
  <c r="J65" i="7"/>
  <c r="I65" i="7"/>
  <c r="H65" i="7"/>
  <c r="G65" i="7"/>
  <c r="F65" i="7"/>
  <c r="E65" i="7"/>
  <c r="D65" i="7"/>
  <c r="C65" i="7"/>
  <c r="N64" i="7"/>
  <c r="M64" i="7"/>
  <c r="L64" i="7"/>
  <c r="K64" i="7"/>
  <c r="J64" i="7"/>
  <c r="I64" i="7"/>
  <c r="H64" i="7"/>
  <c r="G64" i="7"/>
  <c r="F64" i="7"/>
  <c r="E64" i="7"/>
  <c r="D64" i="7"/>
  <c r="C64" i="7"/>
  <c r="N60" i="7"/>
  <c r="M60" i="7"/>
  <c r="L60" i="7"/>
  <c r="K60" i="7"/>
  <c r="J60" i="7"/>
  <c r="I60" i="7"/>
  <c r="H60" i="7"/>
  <c r="G60" i="7"/>
  <c r="F60" i="7"/>
  <c r="E60" i="7"/>
  <c r="D60" i="7"/>
  <c r="C60" i="7"/>
  <c r="N59" i="7"/>
  <c r="M59" i="7"/>
  <c r="L59" i="7"/>
  <c r="K59" i="7"/>
  <c r="J59" i="7"/>
  <c r="I59" i="7"/>
  <c r="H59" i="7"/>
  <c r="G59" i="7"/>
  <c r="F59" i="7"/>
  <c r="E59" i="7"/>
  <c r="D59" i="7"/>
  <c r="C59" i="7"/>
  <c r="N58" i="7"/>
  <c r="M58" i="7"/>
  <c r="L58" i="7"/>
  <c r="K58" i="7"/>
  <c r="J58" i="7"/>
  <c r="I58" i="7"/>
  <c r="H58" i="7"/>
  <c r="G58" i="7"/>
  <c r="F58" i="7"/>
  <c r="E58" i="7"/>
  <c r="D58" i="7"/>
  <c r="C58" i="7"/>
  <c r="N57" i="7"/>
  <c r="M57" i="7"/>
  <c r="L57" i="7"/>
  <c r="K57" i="7"/>
  <c r="J57" i="7"/>
  <c r="I57" i="7"/>
  <c r="H57" i="7"/>
  <c r="G57" i="7"/>
  <c r="F57" i="7"/>
  <c r="E57" i="7"/>
  <c r="D57" i="7"/>
  <c r="C57" i="7"/>
  <c r="N56" i="7"/>
  <c r="M56" i="7"/>
  <c r="L56" i="7"/>
  <c r="K56" i="7"/>
  <c r="J56" i="7"/>
  <c r="I56" i="7"/>
  <c r="H56" i="7"/>
  <c r="G56" i="7"/>
  <c r="F56" i="7"/>
  <c r="E56" i="7"/>
  <c r="D56" i="7"/>
  <c r="C56" i="7"/>
  <c r="O47" i="7"/>
  <c r="O94" i="7" s="1"/>
  <c r="O41" i="7"/>
  <c r="O88" i="7" s="1"/>
  <c r="O40" i="7"/>
  <c r="O87" i="7" s="1"/>
  <c r="O39" i="7"/>
  <c r="O86" i="7" s="1"/>
  <c r="O38" i="7"/>
  <c r="O85" i="7" s="1"/>
  <c r="O37" i="7"/>
  <c r="O84" i="7" s="1"/>
  <c r="O36" i="7"/>
  <c r="O83" i="7" s="1"/>
  <c r="O35" i="7"/>
  <c r="O82" i="7" s="1"/>
  <c r="N34" i="7"/>
  <c r="N81" i="7" s="1"/>
  <c r="M34" i="7"/>
  <c r="M81" i="7" s="1"/>
  <c r="L34" i="7"/>
  <c r="L81" i="7" s="1"/>
  <c r="K34" i="7"/>
  <c r="K81" i="7" s="1"/>
  <c r="J34" i="7"/>
  <c r="J81" i="7" s="1"/>
  <c r="I34" i="7"/>
  <c r="I81" i="7" s="1"/>
  <c r="H34" i="7"/>
  <c r="H81" i="7" s="1"/>
  <c r="G34" i="7"/>
  <c r="G81" i="7" s="1"/>
  <c r="F34" i="7"/>
  <c r="F81" i="7" s="1"/>
  <c r="E34" i="7"/>
  <c r="E81" i="7" s="1"/>
  <c r="D34" i="7"/>
  <c r="D81" i="7" s="1"/>
  <c r="C34" i="7"/>
  <c r="C81" i="7" s="1"/>
  <c r="O33" i="7"/>
  <c r="O80" i="7" s="1"/>
  <c r="O32" i="7"/>
  <c r="O79" i="7" s="1"/>
  <c r="N31" i="7"/>
  <c r="N78" i="7" s="1"/>
  <c r="M31" i="7"/>
  <c r="M78" i="7" s="1"/>
  <c r="L31" i="7"/>
  <c r="L78" i="7" s="1"/>
  <c r="K31" i="7"/>
  <c r="K78" i="7" s="1"/>
  <c r="J31" i="7"/>
  <c r="J78" i="7" s="1"/>
  <c r="I31" i="7"/>
  <c r="I78" i="7" s="1"/>
  <c r="H31" i="7"/>
  <c r="H78" i="7" s="1"/>
  <c r="G31" i="7"/>
  <c r="G78" i="7" s="1"/>
  <c r="F31" i="7"/>
  <c r="F78" i="7" s="1"/>
  <c r="E31" i="7"/>
  <c r="E78" i="7" s="1"/>
  <c r="D31" i="7"/>
  <c r="D78" i="7" s="1"/>
  <c r="C31" i="7"/>
  <c r="C78" i="7" s="1"/>
  <c r="O24" i="7"/>
  <c r="O71" i="7" s="1"/>
  <c r="O23" i="7"/>
  <c r="O70" i="7" s="1"/>
  <c r="O22" i="7"/>
  <c r="O69" i="7" s="1"/>
  <c r="N21" i="7"/>
  <c r="N68" i="7" s="1"/>
  <c r="M21" i="7"/>
  <c r="L21" i="7"/>
  <c r="L68" i="7" s="1"/>
  <c r="K21" i="7"/>
  <c r="K68" i="7" s="1"/>
  <c r="J21" i="7"/>
  <c r="J68" i="7" s="1"/>
  <c r="I21" i="7"/>
  <c r="H21" i="7"/>
  <c r="H68" i="7" s="1"/>
  <c r="G21" i="7"/>
  <c r="G68" i="7" s="1"/>
  <c r="F21" i="7"/>
  <c r="F68" i="7" s="1"/>
  <c r="E21" i="7"/>
  <c r="D21" i="7"/>
  <c r="D68" i="7" s="1"/>
  <c r="C21" i="7"/>
  <c r="C68" i="7" s="1"/>
  <c r="O20" i="7"/>
  <c r="O67" i="7" s="1"/>
  <c r="O19" i="7"/>
  <c r="O66" i="7" s="1"/>
  <c r="O18" i="7"/>
  <c r="O65" i="7" s="1"/>
  <c r="O17" i="7"/>
  <c r="O64" i="7" s="1"/>
  <c r="N16" i="7"/>
  <c r="M16" i="7"/>
  <c r="M63" i="7" s="1"/>
  <c r="L16" i="7"/>
  <c r="L63" i="7" s="1"/>
  <c r="K16" i="7"/>
  <c r="K63" i="7" s="1"/>
  <c r="J16" i="7"/>
  <c r="I16" i="7"/>
  <c r="I63" i="7" s="1"/>
  <c r="H16" i="7"/>
  <c r="H63" i="7" s="1"/>
  <c r="G16" i="7"/>
  <c r="G63" i="7" s="1"/>
  <c r="F16" i="7"/>
  <c r="E16" i="7"/>
  <c r="E63" i="7" s="1"/>
  <c r="D16" i="7"/>
  <c r="D63" i="7" s="1"/>
  <c r="C16" i="7"/>
  <c r="C63" i="7" s="1"/>
  <c r="M15" i="7"/>
  <c r="M62" i="7" s="1"/>
  <c r="L15" i="7"/>
  <c r="L62" i="7" s="1"/>
  <c r="K15" i="7"/>
  <c r="I15" i="7"/>
  <c r="I62" i="7" s="1"/>
  <c r="H15" i="7"/>
  <c r="H62" i="7" s="1"/>
  <c r="G15" i="7"/>
  <c r="E15" i="7"/>
  <c r="E62" i="7" s="1"/>
  <c r="D15" i="7"/>
  <c r="D62" i="7" s="1"/>
  <c r="C15" i="7"/>
  <c r="L14" i="7"/>
  <c r="L61" i="7" s="1"/>
  <c r="H14" i="7"/>
  <c r="H61" i="7" s="1"/>
  <c r="D14" i="7"/>
  <c r="D61" i="7" s="1"/>
  <c r="O13" i="7"/>
  <c r="O60" i="7" s="1"/>
  <c r="O12" i="7"/>
  <c r="O59" i="7" s="1"/>
  <c r="O11" i="7"/>
  <c r="O58" i="7" s="1"/>
  <c r="O10" i="7"/>
  <c r="O57" i="7" s="1"/>
  <c r="O9" i="7"/>
  <c r="O56" i="7" s="1"/>
  <c r="N8" i="7"/>
  <c r="M8" i="7"/>
  <c r="M55" i="7" s="1"/>
  <c r="L8" i="7"/>
  <c r="L55" i="7" s="1"/>
  <c r="K8" i="7"/>
  <c r="J8" i="7"/>
  <c r="I8" i="7"/>
  <c r="I55" i="7" s="1"/>
  <c r="H8" i="7"/>
  <c r="H55" i="7" s="1"/>
  <c r="G8" i="7"/>
  <c r="G25" i="7" s="1"/>
  <c r="G72" i="7" s="1"/>
  <c r="F8" i="7"/>
  <c r="E8" i="7"/>
  <c r="E55" i="7" s="1"/>
  <c r="D8" i="7"/>
  <c r="D55" i="7" s="1"/>
  <c r="C8" i="7"/>
  <c r="C25" i="7" s="1"/>
  <c r="M7" i="7"/>
  <c r="M54" i="7" s="1"/>
  <c r="L7" i="7"/>
  <c r="L54" i="7" s="1"/>
  <c r="K7" i="7"/>
  <c r="I7" i="7"/>
  <c r="I54" i="7" s="1"/>
  <c r="H7" i="7"/>
  <c r="H54" i="7" s="1"/>
  <c r="G7" i="7"/>
  <c r="E7" i="7"/>
  <c r="E54" i="7" s="1"/>
  <c r="D7" i="7"/>
  <c r="D54" i="7" s="1"/>
  <c r="C7" i="7"/>
  <c r="C54" i="7" s="1"/>
  <c r="N109" i="6"/>
  <c r="M109" i="6"/>
  <c r="L109" i="6"/>
  <c r="K109" i="6"/>
  <c r="J109" i="6"/>
  <c r="I109" i="6"/>
  <c r="H109" i="6"/>
  <c r="G109" i="6"/>
  <c r="F109" i="6"/>
  <c r="E109" i="6"/>
  <c r="D109" i="6"/>
  <c r="C109" i="6"/>
  <c r="O109" i="6" s="1"/>
  <c r="O107" i="6"/>
  <c r="O106" i="6"/>
  <c r="N97" i="6"/>
  <c r="M97" i="6"/>
  <c r="L97" i="6"/>
  <c r="K97" i="6"/>
  <c r="J97" i="6"/>
  <c r="I97" i="6"/>
  <c r="H97" i="6"/>
  <c r="G97" i="6"/>
  <c r="F97" i="6"/>
  <c r="E97" i="6"/>
  <c r="D97" i="6"/>
  <c r="C97" i="6"/>
  <c r="N91" i="6"/>
  <c r="M91" i="6"/>
  <c r="L91" i="6"/>
  <c r="K91" i="6"/>
  <c r="J91" i="6"/>
  <c r="I91" i="6"/>
  <c r="H91" i="6"/>
  <c r="G91" i="6"/>
  <c r="F91" i="6"/>
  <c r="E91" i="6"/>
  <c r="D91" i="6"/>
  <c r="C91" i="6"/>
  <c r="N90" i="6"/>
  <c r="M90" i="6"/>
  <c r="L90" i="6"/>
  <c r="K90" i="6"/>
  <c r="J90" i="6"/>
  <c r="I90" i="6"/>
  <c r="H90" i="6"/>
  <c r="G90" i="6"/>
  <c r="F90" i="6"/>
  <c r="E90" i="6"/>
  <c r="D90" i="6"/>
  <c r="C90" i="6"/>
  <c r="N89" i="6"/>
  <c r="M89" i="6"/>
  <c r="L89" i="6"/>
  <c r="K89" i="6"/>
  <c r="J89" i="6"/>
  <c r="I89" i="6"/>
  <c r="H89" i="6"/>
  <c r="G89" i="6"/>
  <c r="F89" i="6"/>
  <c r="E89" i="6"/>
  <c r="D89" i="6"/>
  <c r="C89" i="6"/>
  <c r="N88" i="6"/>
  <c r="M88" i="6"/>
  <c r="L88" i="6"/>
  <c r="K88" i="6"/>
  <c r="J88" i="6"/>
  <c r="I88" i="6"/>
  <c r="H88" i="6"/>
  <c r="G88" i="6"/>
  <c r="F88" i="6"/>
  <c r="E88" i="6"/>
  <c r="D88" i="6"/>
  <c r="C88" i="6"/>
  <c r="N87" i="6"/>
  <c r="M87" i="6"/>
  <c r="L87" i="6"/>
  <c r="K87" i="6"/>
  <c r="J87" i="6"/>
  <c r="I87" i="6"/>
  <c r="H87" i="6"/>
  <c r="G87" i="6"/>
  <c r="F87" i="6"/>
  <c r="E87" i="6"/>
  <c r="D87" i="6"/>
  <c r="C87" i="6"/>
  <c r="N86" i="6"/>
  <c r="M86" i="6"/>
  <c r="L86" i="6"/>
  <c r="K86" i="6"/>
  <c r="J86" i="6"/>
  <c r="I86" i="6"/>
  <c r="H86" i="6"/>
  <c r="G86" i="6"/>
  <c r="F86" i="6"/>
  <c r="E86" i="6"/>
  <c r="D86" i="6"/>
  <c r="C86" i="6"/>
  <c r="N85" i="6"/>
  <c r="M85" i="6"/>
  <c r="L85" i="6"/>
  <c r="K85" i="6"/>
  <c r="J85" i="6"/>
  <c r="I85" i="6"/>
  <c r="H85" i="6"/>
  <c r="G85" i="6"/>
  <c r="F85" i="6"/>
  <c r="E85" i="6"/>
  <c r="D85" i="6"/>
  <c r="C85" i="6"/>
  <c r="N83" i="6"/>
  <c r="M83" i="6"/>
  <c r="L83" i="6"/>
  <c r="K83" i="6"/>
  <c r="J83" i="6"/>
  <c r="I83" i="6"/>
  <c r="H83" i="6"/>
  <c r="G83" i="6"/>
  <c r="F83" i="6"/>
  <c r="E83" i="6"/>
  <c r="D83" i="6"/>
  <c r="C83" i="6"/>
  <c r="N82" i="6"/>
  <c r="M82" i="6"/>
  <c r="L82" i="6"/>
  <c r="K82" i="6"/>
  <c r="J82" i="6"/>
  <c r="I82" i="6"/>
  <c r="H82" i="6"/>
  <c r="G82" i="6"/>
  <c r="F82" i="6"/>
  <c r="E82" i="6"/>
  <c r="D82" i="6"/>
  <c r="C82" i="6"/>
  <c r="N74" i="6"/>
  <c r="M74" i="6"/>
  <c r="L74" i="6"/>
  <c r="K74" i="6"/>
  <c r="J74" i="6"/>
  <c r="I74" i="6"/>
  <c r="H74" i="6"/>
  <c r="G74" i="6"/>
  <c r="F74" i="6"/>
  <c r="E74" i="6"/>
  <c r="D74" i="6"/>
  <c r="C74" i="6"/>
  <c r="N73" i="6"/>
  <c r="M73" i="6"/>
  <c r="L73" i="6"/>
  <c r="K73" i="6"/>
  <c r="J73" i="6"/>
  <c r="I73" i="6"/>
  <c r="H73" i="6"/>
  <c r="G73" i="6"/>
  <c r="F73" i="6"/>
  <c r="E73" i="6"/>
  <c r="D73" i="6"/>
  <c r="C73" i="6"/>
  <c r="N71" i="6"/>
  <c r="M71" i="6"/>
  <c r="L71" i="6"/>
  <c r="K71" i="6"/>
  <c r="J71" i="6"/>
  <c r="I71" i="6"/>
  <c r="H71" i="6"/>
  <c r="G71" i="6"/>
  <c r="F71" i="6"/>
  <c r="E71" i="6"/>
  <c r="D71" i="6"/>
  <c r="C71" i="6"/>
  <c r="N69" i="6"/>
  <c r="M69" i="6"/>
  <c r="L69" i="6"/>
  <c r="K69" i="6"/>
  <c r="J69" i="6"/>
  <c r="I69" i="6"/>
  <c r="H69" i="6"/>
  <c r="G69" i="6"/>
  <c r="F69" i="6"/>
  <c r="E69" i="6"/>
  <c r="D69" i="6"/>
  <c r="C69" i="6"/>
  <c r="N68" i="6"/>
  <c r="M68" i="6"/>
  <c r="L68" i="6"/>
  <c r="K68" i="6"/>
  <c r="J68" i="6"/>
  <c r="I68" i="6"/>
  <c r="H68" i="6"/>
  <c r="G68" i="6"/>
  <c r="F68" i="6"/>
  <c r="E68" i="6"/>
  <c r="D68" i="6"/>
  <c r="C68" i="6"/>
  <c r="N67" i="6"/>
  <c r="M67" i="6"/>
  <c r="L67" i="6"/>
  <c r="K67" i="6"/>
  <c r="J67" i="6"/>
  <c r="I67" i="6"/>
  <c r="H67" i="6"/>
  <c r="G67" i="6"/>
  <c r="F67" i="6"/>
  <c r="E67" i="6"/>
  <c r="D67" i="6"/>
  <c r="C67" i="6"/>
  <c r="N66" i="6"/>
  <c r="M66" i="6"/>
  <c r="L66" i="6"/>
  <c r="K66" i="6"/>
  <c r="J66" i="6"/>
  <c r="I66" i="6"/>
  <c r="H66" i="6"/>
  <c r="G66" i="6"/>
  <c r="F66" i="6"/>
  <c r="E66" i="6"/>
  <c r="D66" i="6"/>
  <c r="C66" i="6"/>
  <c r="N62" i="6"/>
  <c r="M62" i="6"/>
  <c r="L62" i="6"/>
  <c r="K62" i="6"/>
  <c r="J62" i="6"/>
  <c r="I62" i="6"/>
  <c r="H62" i="6"/>
  <c r="G62" i="6"/>
  <c r="F62" i="6"/>
  <c r="E62" i="6"/>
  <c r="D62" i="6"/>
  <c r="C62" i="6"/>
  <c r="N61" i="6"/>
  <c r="M61" i="6"/>
  <c r="L61" i="6"/>
  <c r="K61" i="6"/>
  <c r="J61" i="6"/>
  <c r="I61" i="6"/>
  <c r="H61" i="6"/>
  <c r="G61" i="6"/>
  <c r="F61" i="6"/>
  <c r="E61" i="6"/>
  <c r="D61" i="6"/>
  <c r="C61" i="6"/>
  <c r="N60" i="6"/>
  <c r="M60" i="6"/>
  <c r="L60" i="6"/>
  <c r="K60" i="6"/>
  <c r="J60" i="6"/>
  <c r="I60" i="6"/>
  <c r="H60" i="6"/>
  <c r="G60" i="6"/>
  <c r="F60" i="6"/>
  <c r="E60" i="6"/>
  <c r="D60" i="6"/>
  <c r="C60" i="6"/>
  <c r="N59" i="6"/>
  <c r="M59" i="6"/>
  <c r="L59" i="6"/>
  <c r="K59" i="6"/>
  <c r="J59" i="6"/>
  <c r="I59" i="6"/>
  <c r="H59" i="6"/>
  <c r="G59" i="6"/>
  <c r="F59" i="6"/>
  <c r="E59" i="6"/>
  <c r="D59" i="6"/>
  <c r="C59" i="6"/>
  <c r="N58" i="6"/>
  <c r="M58" i="6"/>
  <c r="L58" i="6"/>
  <c r="K58" i="6"/>
  <c r="J58" i="6"/>
  <c r="I58" i="6"/>
  <c r="H58" i="6"/>
  <c r="G58" i="6"/>
  <c r="F58" i="6"/>
  <c r="E58" i="6"/>
  <c r="D58" i="6"/>
  <c r="C58" i="6"/>
  <c r="O49" i="6"/>
  <c r="O48" i="6"/>
  <c r="O97" i="6" s="1"/>
  <c r="O42" i="6"/>
  <c r="O91" i="6" s="1"/>
  <c r="O41" i="6"/>
  <c r="O90" i="6" s="1"/>
  <c r="O40" i="6"/>
  <c r="O89" i="6" s="1"/>
  <c r="O39" i="6"/>
  <c r="O88" i="6" s="1"/>
  <c r="O38" i="6"/>
  <c r="O87" i="6" s="1"/>
  <c r="O37" i="6"/>
  <c r="O86" i="6" s="1"/>
  <c r="O36" i="6"/>
  <c r="O85" i="6" s="1"/>
  <c r="N35" i="6"/>
  <c r="N84" i="6" s="1"/>
  <c r="M35" i="6"/>
  <c r="M84" i="6" s="1"/>
  <c r="L35" i="6"/>
  <c r="L84" i="6" s="1"/>
  <c r="K35" i="6"/>
  <c r="K84" i="6" s="1"/>
  <c r="J35" i="6"/>
  <c r="J84" i="6" s="1"/>
  <c r="I35" i="6"/>
  <c r="I84" i="6" s="1"/>
  <c r="H35" i="6"/>
  <c r="H84" i="6" s="1"/>
  <c r="G35" i="6"/>
  <c r="G84" i="6" s="1"/>
  <c r="F35" i="6"/>
  <c r="F84" i="6" s="1"/>
  <c r="E35" i="6"/>
  <c r="E84" i="6" s="1"/>
  <c r="D35" i="6"/>
  <c r="D84" i="6" s="1"/>
  <c r="C35" i="6"/>
  <c r="O35" i="6" s="1"/>
  <c r="O84" i="6" s="1"/>
  <c r="O34" i="6"/>
  <c r="O83" i="6" s="1"/>
  <c r="O33" i="6"/>
  <c r="O82" i="6" s="1"/>
  <c r="N32" i="6"/>
  <c r="N81" i="6" s="1"/>
  <c r="M32" i="6"/>
  <c r="M81" i="6" s="1"/>
  <c r="L32" i="6"/>
  <c r="L81" i="6" s="1"/>
  <c r="K32" i="6"/>
  <c r="K81" i="6" s="1"/>
  <c r="J32" i="6"/>
  <c r="J81" i="6" s="1"/>
  <c r="I32" i="6"/>
  <c r="I81" i="6" s="1"/>
  <c r="H32" i="6"/>
  <c r="H81" i="6" s="1"/>
  <c r="G32" i="6"/>
  <c r="G81" i="6" s="1"/>
  <c r="F32" i="6"/>
  <c r="F81" i="6" s="1"/>
  <c r="E32" i="6"/>
  <c r="E81" i="6" s="1"/>
  <c r="D32" i="6"/>
  <c r="D81" i="6" s="1"/>
  <c r="C32" i="6"/>
  <c r="C81" i="6" s="1"/>
  <c r="O25" i="6"/>
  <c r="O74" i="6" s="1"/>
  <c r="O24" i="6"/>
  <c r="O73" i="6" s="1"/>
  <c r="O23" i="6"/>
  <c r="O22" i="6"/>
  <c r="O71" i="6" s="1"/>
  <c r="N21" i="6"/>
  <c r="N70" i="6" s="1"/>
  <c r="M21" i="6"/>
  <c r="L21" i="6"/>
  <c r="L70" i="6" s="1"/>
  <c r="K21" i="6"/>
  <c r="K70" i="6" s="1"/>
  <c r="J21" i="6"/>
  <c r="J70" i="6" s="1"/>
  <c r="I21" i="6"/>
  <c r="H21" i="6"/>
  <c r="H70" i="6" s="1"/>
  <c r="G21" i="6"/>
  <c r="G70" i="6" s="1"/>
  <c r="F21" i="6"/>
  <c r="F70" i="6" s="1"/>
  <c r="E21" i="6"/>
  <c r="D21" i="6"/>
  <c r="D70" i="6" s="1"/>
  <c r="C21" i="6"/>
  <c r="O21" i="6" s="1"/>
  <c r="O70" i="6" s="1"/>
  <c r="O20" i="6"/>
  <c r="O69" i="6" s="1"/>
  <c r="O19" i="6"/>
  <c r="O68" i="6" s="1"/>
  <c r="O18" i="6"/>
  <c r="O67" i="6" s="1"/>
  <c r="O17" i="6"/>
  <c r="O66" i="6" s="1"/>
  <c r="N16" i="6"/>
  <c r="M16" i="6"/>
  <c r="M65" i="6" s="1"/>
  <c r="L16" i="6"/>
  <c r="L65" i="6" s="1"/>
  <c r="K16" i="6"/>
  <c r="K65" i="6" s="1"/>
  <c r="J16" i="6"/>
  <c r="I16" i="6"/>
  <c r="I65" i="6" s="1"/>
  <c r="H16" i="6"/>
  <c r="H65" i="6" s="1"/>
  <c r="G16" i="6"/>
  <c r="G65" i="6" s="1"/>
  <c r="F16" i="6"/>
  <c r="E16" i="6"/>
  <c r="E65" i="6" s="1"/>
  <c r="D16" i="6"/>
  <c r="D65" i="6" s="1"/>
  <c r="C16" i="6"/>
  <c r="C65" i="6" s="1"/>
  <c r="M15" i="6"/>
  <c r="M64" i="6" s="1"/>
  <c r="L15" i="6"/>
  <c r="L64" i="6" s="1"/>
  <c r="K15" i="6"/>
  <c r="I15" i="6"/>
  <c r="I64" i="6" s="1"/>
  <c r="H15" i="6"/>
  <c r="H64" i="6" s="1"/>
  <c r="G15" i="6"/>
  <c r="E15" i="6"/>
  <c r="E64" i="6" s="1"/>
  <c r="D15" i="6"/>
  <c r="D64" i="6" s="1"/>
  <c r="C15" i="6"/>
  <c r="L14" i="6"/>
  <c r="L63" i="6" s="1"/>
  <c r="H14" i="6"/>
  <c r="H63" i="6" s="1"/>
  <c r="D14" i="6"/>
  <c r="D63" i="6" s="1"/>
  <c r="O13" i="6"/>
  <c r="O62" i="6" s="1"/>
  <c r="O12" i="6"/>
  <c r="O61" i="6" s="1"/>
  <c r="O11" i="6"/>
  <c r="O60" i="6" s="1"/>
  <c r="O10" i="6"/>
  <c r="O59" i="6" s="1"/>
  <c r="O9" i="6"/>
  <c r="O58" i="6" s="1"/>
  <c r="N8" i="6"/>
  <c r="M8" i="6"/>
  <c r="M57" i="6" s="1"/>
  <c r="L8" i="6"/>
  <c r="L26" i="6" s="1"/>
  <c r="L75" i="6" s="1"/>
  <c r="K8" i="6"/>
  <c r="K57" i="6" s="1"/>
  <c r="J8" i="6"/>
  <c r="I8" i="6"/>
  <c r="I57" i="6" s="1"/>
  <c r="H8" i="6"/>
  <c r="H57" i="6" s="1"/>
  <c r="G8" i="6"/>
  <c r="G57" i="6" s="1"/>
  <c r="F8" i="6"/>
  <c r="E8" i="6"/>
  <c r="E57" i="6" s="1"/>
  <c r="D8" i="6"/>
  <c r="D57" i="6" s="1"/>
  <c r="C8" i="6"/>
  <c r="C57" i="6" s="1"/>
  <c r="M7" i="6"/>
  <c r="M56" i="6" s="1"/>
  <c r="L7" i="6"/>
  <c r="L56" i="6" s="1"/>
  <c r="K7" i="6"/>
  <c r="I7" i="6"/>
  <c r="I56" i="6" s="1"/>
  <c r="H7" i="6"/>
  <c r="H56" i="6" s="1"/>
  <c r="G7" i="6"/>
  <c r="E7" i="6"/>
  <c r="E56" i="6" s="1"/>
  <c r="D7" i="6"/>
  <c r="D56" i="6" s="1"/>
  <c r="C7" i="6"/>
  <c r="L122" i="3"/>
  <c r="K122" i="3"/>
  <c r="J122" i="3"/>
  <c r="S121" i="3"/>
  <c r="R121" i="3"/>
  <c r="Q121" i="3"/>
  <c r="P121" i="3"/>
  <c r="O121" i="3"/>
  <c r="N121" i="3"/>
  <c r="M121" i="3"/>
  <c r="L121" i="3"/>
  <c r="K121" i="3"/>
  <c r="J121" i="3"/>
  <c r="I121" i="3"/>
  <c r="I120" i="3"/>
  <c r="H120" i="3"/>
  <c r="G120" i="3"/>
  <c r="F120" i="3"/>
  <c r="E120" i="3"/>
  <c r="D120" i="3"/>
  <c r="S113" i="3"/>
  <c r="R113" i="3"/>
  <c r="Q113" i="3"/>
  <c r="P113" i="3"/>
  <c r="O113" i="3"/>
  <c r="N113" i="3"/>
  <c r="M113" i="3"/>
  <c r="L113" i="3"/>
  <c r="K113" i="3"/>
  <c r="J113" i="3"/>
  <c r="I113" i="3"/>
  <c r="H113" i="3"/>
  <c r="G113" i="3"/>
  <c r="F113" i="3"/>
  <c r="E113" i="3"/>
  <c r="D113" i="3"/>
  <c r="C113" i="3"/>
  <c r="S112" i="3"/>
  <c r="R112" i="3"/>
  <c r="Q112" i="3"/>
  <c r="P112" i="3"/>
  <c r="O112" i="3"/>
  <c r="N112" i="3"/>
  <c r="M112" i="3"/>
  <c r="L112" i="3"/>
  <c r="K112" i="3"/>
  <c r="J112" i="3"/>
  <c r="I112" i="3"/>
  <c r="H112" i="3"/>
  <c r="G112" i="3"/>
  <c r="F112" i="3"/>
  <c r="E112" i="3"/>
  <c r="D112" i="3"/>
  <c r="C112" i="3"/>
  <c r="S111" i="3"/>
  <c r="R111" i="3"/>
  <c r="Q111" i="3"/>
  <c r="P111" i="3"/>
  <c r="O111" i="3"/>
  <c r="N111" i="3"/>
  <c r="M111" i="3"/>
  <c r="L111" i="3"/>
  <c r="K111" i="3"/>
  <c r="J111" i="3"/>
  <c r="I111" i="3"/>
  <c r="H111" i="3"/>
  <c r="G111" i="3"/>
  <c r="F111" i="3"/>
  <c r="E111" i="3"/>
  <c r="D111" i="3"/>
  <c r="C111" i="3"/>
  <c r="S110" i="3"/>
  <c r="R110" i="3"/>
  <c r="Q110" i="3"/>
  <c r="P110" i="3"/>
  <c r="O110" i="3"/>
  <c r="N110" i="3"/>
  <c r="M110" i="3"/>
  <c r="L110" i="3"/>
  <c r="K110" i="3"/>
  <c r="J110" i="3"/>
  <c r="I110" i="3"/>
  <c r="H110" i="3"/>
  <c r="G110" i="3"/>
  <c r="F110" i="3"/>
  <c r="E110" i="3"/>
  <c r="D110" i="3"/>
  <c r="C110" i="3"/>
  <c r="S109" i="3"/>
  <c r="R109" i="3"/>
  <c r="Q109" i="3"/>
  <c r="P109" i="3"/>
  <c r="O109" i="3"/>
  <c r="N109" i="3"/>
  <c r="M109" i="3"/>
  <c r="L109" i="3"/>
  <c r="K109" i="3"/>
  <c r="J109" i="3"/>
  <c r="I109" i="3"/>
  <c r="H109" i="3"/>
  <c r="G109" i="3"/>
  <c r="F109" i="3"/>
  <c r="E109" i="3"/>
  <c r="D109" i="3"/>
  <c r="C109" i="3"/>
  <c r="S108" i="3"/>
  <c r="R108" i="3"/>
  <c r="Q108" i="3"/>
  <c r="P108" i="3"/>
  <c r="O108" i="3"/>
  <c r="N108" i="3"/>
  <c r="M108" i="3"/>
  <c r="L108" i="3"/>
  <c r="K108" i="3"/>
  <c r="J108" i="3"/>
  <c r="I108" i="3"/>
  <c r="H108" i="3"/>
  <c r="G108" i="3"/>
  <c r="F108" i="3"/>
  <c r="E108" i="3"/>
  <c r="D108" i="3"/>
  <c r="C108" i="3"/>
  <c r="S107" i="3"/>
  <c r="R107" i="3"/>
  <c r="Q107" i="3"/>
  <c r="P107" i="3"/>
  <c r="O107" i="3"/>
  <c r="N107" i="3"/>
  <c r="M107" i="3"/>
  <c r="L107" i="3"/>
  <c r="K107" i="3"/>
  <c r="J107" i="3"/>
  <c r="I107" i="3"/>
  <c r="H107" i="3"/>
  <c r="G107" i="3"/>
  <c r="F107" i="3"/>
  <c r="E107" i="3"/>
  <c r="D107" i="3"/>
  <c r="C107" i="3"/>
  <c r="S105" i="3"/>
  <c r="R105" i="3"/>
  <c r="Q105" i="3"/>
  <c r="P105" i="3"/>
  <c r="O105" i="3"/>
  <c r="N105" i="3"/>
  <c r="M105" i="3"/>
  <c r="L105" i="3"/>
  <c r="K105" i="3"/>
  <c r="J105" i="3"/>
  <c r="I105" i="3"/>
  <c r="H105" i="3"/>
  <c r="G105" i="3"/>
  <c r="F105" i="3"/>
  <c r="E105" i="3"/>
  <c r="D105" i="3"/>
  <c r="C105" i="3"/>
  <c r="S104" i="3"/>
  <c r="R104" i="3"/>
  <c r="Q104" i="3"/>
  <c r="P104" i="3"/>
  <c r="O104" i="3"/>
  <c r="N104" i="3"/>
  <c r="M104" i="3"/>
  <c r="L104" i="3"/>
  <c r="K104" i="3"/>
  <c r="J104" i="3"/>
  <c r="I104" i="3"/>
  <c r="H104" i="3"/>
  <c r="G104" i="3"/>
  <c r="F104" i="3"/>
  <c r="E104" i="3"/>
  <c r="D104" i="3"/>
  <c r="C104" i="3"/>
  <c r="S94" i="3"/>
  <c r="R94" i="3"/>
  <c r="Q94" i="3"/>
  <c r="P94" i="3"/>
  <c r="O94" i="3"/>
  <c r="N94" i="3"/>
  <c r="M94" i="3"/>
  <c r="L94" i="3"/>
  <c r="K94" i="3"/>
  <c r="J94" i="3"/>
  <c r="I94" i="3"/>
  <c r="H94" i="3"/>
  <c r="G94" i="3"/>
  <c r="F94" i="3"/>
  <c r="E94" i="3"/>
  <c r="D94" i="3"/>
  <c r="C94" i="3"/>
  <c r="S93" i="3"/>
  <c r="R93" i="3"/>
  <c r="Q93" i="3"/>
  <c r="P93" i="3"/>
  <c r="O93" i="3"/>
  <c r="N93" i="3"/>
  <c r="M93" i="3"/>
  <c r="L93" i="3"/>
  <c r="K93" i="3"/>
  <c r="J93" i="3"/>
  <c r="I93" i="3"/>
  <c r="H93" i="3"/>
  <c r="G93" i="3"/>
  <c r="F93" i="3"/>
  <c r="E93" i="3"/>
  <c r="D93" i="3"/>
  <c r="C93" i="3"/>
  <c r="S92" i="3"/>
  <c r="R92" i="3"/>
  <c r="Q92" i="3"/>
  <c r="P92" i="3"/>
  <c r="O92" i="3"/>
  <c r="N92" i="3"/>
  <c r="M92" i="3"/>
  <c r="L92" i="3"/>
  <c r="K92" i="3"/>
  <c r="J92" i="3"/>
  <c r="I92" i="3"/>
  <c r="H92" i="3"/>
  <c r="G92" i="3"/>
  <c r="F92" i="3"/>
  <c r="E92" i="3"/>
  <c r="D92" i="3"/>
  <c r="C92" i="3"/>
  <c r="S90" i="3"/>
  <c r="R90" i="3"/>
  <c r="Q90" i="3"/>
  <c r="P90" i="3"/>
  <c r="O90" i="3"/>
  <c r="N90" i="3"/>
  <c r="M90" i="3"/>
  <c r="L90" i="3"/>
  <c r="K90" i="3"/>
  <c r="J90" i="3"/>
  <c r="I90" i="3"/>
  <c r="H90" i="3"/>
  <c r="G90" i="3"/>
  <c r="F90" i="3"/>
  <c r="E90" i="3"/>
  <c r="D90" i="3"/>
  <c r="C90" i="3"/>
  <c r="S89" i="3"/>
  <c r="R89" i="3"/>
  <c r="Q89" i="3"/>
  <c r="P89" i="3"/>
  <c r="O89" i="3"/>
  <c r="N89" i="3"/>
  <c r="M89" i="3"/>
  <c r="L89" i="3"/>
  <c r="K89" i="3"/>
  <c r="J89" i="3"/>
  <c r="I89" i="3"/>
  <c r="H89" i="3"/>
  <c r="G89" i="3"/>
  <c r="F89" i="3"/>
  <c r="E89" i="3"/>
  <c r="D89" i="3"/>
  <c r="C89" i="3"/>
  <c r="S88" i="3"/>
  <c r="R88" i="3"/>
  <c r="Q88" i="3"/>
  <c r="P88" i="3"/>
  <c r="O88" i="3"/>
  <c r="N88" i="3"/>
  <c r="M88" i="3"/>
  <c r="L88" i="3"/>
  <c r="K88" i="3"/>
  <c r="J88" i="3"/>
  <c r="I88" i="3"/>
  <c r="H88" i="3"/>
  <c r="G88" i="3"/>
  <c r="F88" i="3"/>
  <c r="E88" i="3"/>
  <c r="D88" i="3"/>
  <c r="C88" i="3"/>
  <c r="S87" i="3"/>
  <c r="R87" i="3"/>
  <c r="Q87" i="3"/>
  <c r="P87" i="3"/>
  <c r="O87" i="3"/>
  <c r="N87" i="3"/>
  <c r="M87" i="3"/>
  <c r="L87" i="3"/>
  <c r="K87" i="3"/>
  <c r="J87" i="3"/>
  <c r="I87" i="3"/>
  <c r="H87" i="3"/>
  <c r="G87" i="3"/>
  <c r="F87" i="3"/>
  <c r="E87" i="3"/>
  <c r="D87" i="3"/>
  <c r="C87" i="3"/>
  <c r="S83" i="3"/>
  <c r="R83" i="3"/>
  <c r="Q83" i="3"/>
  <c r="P83" i="3"/>
  <c r="O83" i="3"/>
  <c r="N83" i="3"/>
  <c r="M83" i="3"/>
  <c r="L83" i="3"/>
  <c r="K83" i="3"/>
  <c r="J83" i="3"/>
  <c r="I83" i="3"/>
  <c r="H83" i="3"/>
  <c r="G83" i="3"/>
  <c r="F83" i="3"/>
  <c r="E83" i="3"/>
  <c r="D83" i="3"/>
  <c r="C83" i="3"/>
  <c r="S82" i="3"/>
  <c r="R82" i="3"/>
  <c r="Q82" i="3"/>
  <c r="P82" i="3"/>
  <c r="O82" i="3"/>
  <c r="N82" i="3"/>
  <c r="M82" i="3"/>
  <c r="L82" i="3"/>
  <c r="K82" i="3"/>
  <c r="J82" i="3"/>
  <c r="I82" i="3"/>
  <c r="H82" i="3"/>
  <c r="G82" i="3"/>
  <c r="F82" i="3"/>
  <c r="E82" i="3"/>
  <c r="D82" i="3"/>
  <c r="C82" i="3"/>
  <c r="S81" i="3"/>
  <c r="R81" i="3"/>
  <c r="Q81" i="3"/>
  <c r="P81" i="3"/>
  <c r="O81" i="3"/>
  <c r="N81" i="3"/>
  <c r="M81" i="3"/>
  <c r="L81" i="3"/>
  <c r="K81" i="3"/>
  <c r="J81" i="3"/>
  <c r="I81" i="3"/>
  <c r="H81" i="3"/>
  <c r="G81" i="3"/>
  <c r="F81" i="3"/>
  <c r="E81" i="3"/>
  <c r="D81" i="3"/>
  <c r="C81" i="3"/>
  <c r="S80" i="3"/>
  <c r="R80" i="3"/>
  <c r="Q80" i="3"/>
  <c r="P80" i="3"/>
  <c r="O80" i="3"/>
  <c r="N80" i="3"/>
  <c r="M80" i="3"/>
  <c r="L80" i="3"/>
  <c r="K80" i="3"/>
  <c r="J80" i="3"/>
  <c r="I80" i="3"/>
  <c r="H80" i="3"/>
  <c r="G80" i="3"/>
  <c r="F80" i="3"/>
  <c r="E80" i="3"/>
  <c r="D80" i="3"/>
  <c r="C80" i="3"/>
  <c r="S79" i="3"/>
  <c r="R79" i="3"/>
  <c r="Q79" i="3"/>
  <c r="P79" i="3"/>
  <c r="O79" i="3"/>
  <c r="N79" i="3"/>
  <c r="M79" i="3"/>
  <c r="L79" i="3"/>
  <c r="K79" i="3"/>
  <c r="J79" i="3"/>
  <c r="I79" i="3"/>
  <c r="H79" i="3"/>
  <c r="G79" i="3"/>
  <c r="F79" i="3"/>
  <c r="E79" i="3"/>
  <c r="D79" i="3"/>
  <c r="C79" i="3"/>
  <c r="S78" i="3"/>
  <c r="R78" i="3"/>
  <c r="Q78" i="3"/>
  <c r="P78" i="3"/>
  <c r="O78" i="3"/>
  <c r="N78" i="3"/>
  <c r="M78" i="3"/>
  <c r="L78" i="3"/>
  <c r="K78" i="3"/>
  <c r="J78" i="3"/>
  <c r="I78" i="3"/>
  <c r="H78" i="3"/>
  <c r="G78" i="3"/>
  <c r="F78" i="3"/>
  <c r="E78" i="3"/>
  <c r="D78" i="3"/>
  <c r="C78" i="3"/>
  <c r="S51" i="3"/>
  <c r="S119" i="3" s="1"/>
  <c r="R51" i="3"/>
  <c r="R119" i="3" s="1"/>
  <c r="Q51" i="3"/>
  <c r="Q119" i="3" s="1"/>
  <c r="P51" i="3"/>
  <c r="P119" i="3" s="1"/>
  <c r="O51" i="3"/>
  <c r="O119" i="3" s="1"/>
  <c r="N51" i="3"/>
  <c r="N119" i="3" s="1"/>
  <c r="M51" i="3"/>
  <c r="M119" i="3" s="1"/>
  <c r="L51" i="3"/>
  <c r="L119" i="3" s="1"/>
  <c r="K51" i="3"/>
  <c r="K119" i="3" s="1"/>
  <c r="J51" i="3"/>
  <c r="J119" i="3" s="1"/>
  <c r="I51" i="3"/>
  <c r="I119" i="3" s="1"/>
  <c r="H51" i="3"/>
  <c r="H119" i="3" s="1"/>
  <c r="G51" i="3"/>
  <c r="G119" i="3" s="1"/>
  <c r="F51" i="3"/>
  <c r="F119" i="3" s="1"/>
  <c r="E51" i="3"/>
  <c r="E119" i="3" s="1"/>
  <c r="D51" i="3"/>
  <c r="D119" i="3" s="1"/>
  <c r="S38" i="3"/>
  <c r="S106" i="3" s="1"/>
  <c r="R38" i="3"/>
  <c r="R106" i="3" s="1"/>
  <c r="Q38" i="3"/>
  <c r="Q106" i="3" s="1"/>
  <c r="P38" i="3"/>
  <c r="P106" i="3" s="1"/>
  <c r="O38" i="3"/>
  <c r="O106" i="3" s="1"/>
  <c r="N38" i="3"/>
  <c r="N106" i="3" s="1"/>
  <c r="M38" i="3"/>
  <c r="M106" i="3" s="1"/>
  <c r="L38" i="3"/>
  <c r="L106" i="3" s="1"/>
  <c r="K38" i="3"/>
  <c r="K106" i="3" s="1"/>
  <c r="J38" i="3"/>
  <c r="J106" i="3" s="1"/>
  <c r="I38" i="3"/>
  <c r="I106" i="3" s="1"/>
  <c r="H38" i="3"/>
  <c r="H106" i="3" s="1"/>
  <c r="G38" i="3"/>
  <c r="G106" i="3" s="1"/>
  <c r="F38" i="3"/>
  <c r="F106" i="3" s="1"/>
  <c r="E38" i="3"/>
  <c r="E106" i="3" s="1"/>
  <c r="D38" i="3"/>
  <c r="D106" i="3" s="1"/>
  <c r="C38" i="3"/>
  <c r="C106" i="3" s="1"/>
  <c r="S35" i="3"/>
  <c r="S103" i="3" s="1"/>
  <c r="R35" i="3"/>
  <c r="R103" i="3" s="1"/>
  <c r="Q35" i="3"/>
  <c r="Q103" i="3" s="1"/>
  <c r="P35" i="3"/>
  <c r="P103" i="3" s="1"/>
  <c r="O35" i="3"/>
  <c r="O103" i="3" s="1"/>
  <c r="N35" i="3"/>
  <c r="N103" i="3" s="1"/>
  <c r="M35" i="3"/>
  <c r="M103" i="3" s="1"/>
  <c r="L35" i="3"/>
  <c r="L103" i="3" s="1"/>
  <c r="K35" i="3"/>
  <c r="K103" i="3" s="1"/>
  <c r="J35" i="3"/>
  <c r="J103" i="3" s="1"/>
  <c r="I35" i="3"/>
  <c r="I103" i="3" s="1"/>
  <c r="H35" i="3"/>
  <c r="H103" i="3" s="1"/>
  <c r="G35" i="3"/>
  <c r="G103" i="3" s="1"/>
  <c r="F35" i="3"/>
  <c r="F103" i="3" s="1"/>
  <c r="E35" i="3"/>
  <c r="E103" i="3" s="1"/>
  <c r="D35" i="3"/>
  <c r="D103" i="3" s="1"/>
  <c r="C35" i="3"/>
  <c r="C103" i="3" s="1"/>
  <c r="S23" i="3"/>
  <c r="S91" i="3" s="1"/>
  <c r="R23" i="3"/>
  <c r="R91" i="3" s="1"/>
  <c r="Q23" i="3"/>
  <c r="Q91" i="3" s="1"/>
  <c r="P23" i="3"/>
  <c r="P91" i="3" s="1"/>
  <c r="O23" i="3"/>
  <c r="O91" i="3" s="1"/>
  <c r="N23" i="3"/>
  <c r="N91" i="3" s="1"/>
  <c r="M23" i="3"/>
  <c r="M91" i="3" s="1"/>
  <c r="L23" i="3"/>
  <c r="L91" i="3" s="1"/>
  <c r="K23" i="3"/>
  <c r="K91" i="3" s="1"/>
  <c r="J23" i="3"/>
  <c r="J91" i="3" s="1"/>
  <c r="I23" i="3"/>
  <c r="I91" i="3" s="1"/>
  <c r="H23" i="3"/>
  <c r="H91" i="3" s="1"/>
  <c r="G23" i="3"/>
  <c r="G91" i="3" s="1"/>
  <c r="F23" i="3"/>
  <c r="F91" i="3" s="1"/>
  <c r="E23" i="3"/>
  <c r="E91" i="3" s="1"/>
  <c r="D23" i="3"/>
  <c r="D91" i="3" s="1"/>
  <c r="C23" i="3"/>
  <c r="C91" i="3" s="1"/>
  <c r="S18" i="3"/>
  <c r="S86" i="3" s="1"/>
  <c r="R18" i="3"/>
  <c r="R86" i="3" s="1"/>
  <c r="Q18" i="3"/>
  <c r="Q86" i="3" s="1"/>
  <c r="P18" i="3"/>
  <c r="P86" i="3" s="1"/>
  <c r="O18" i="3"/>
  <c r="O86" i="3" s="1"/>
  <c r="N18" i="3"/>
  <c r="N86" i="3" s="1"/>
  <c r="M18" i="3"/>
  <c r="M86" i="3" s="1"/>
  <c r="L18" i="3"/>
  <c r="L86" i="3" s="1"/>
  <c r="K18" i="3"/>
  <c r="K86" i="3" s="1"/>
  <c r="J18" i="3"/>
  <c r="J86" i="3" s="1"/>
  <c r="I18" i="3"/>
  <c r="I86" i="3" s="1"/>
  <c r="H18" i="3"/>
  <c r="H86" i="3" s="1"/>
  <c r="G18" i="3"/>
  <c r="G86" i="3" s="1"/>
  <c r="F18" i="3"/>
  <c r="F86" i="3" s="1"/>
  <c r="E18" i="3"/>
  <c r="E86" i="3" s="1"/>
  <c r="D18" i="3"/>
  <c r="D86" i="3" s="1"/>
  <c r="C18" i="3"/>
  <c r="C86" i="3" s="1"/>
  <c r="R17" i="3"/>
  <c r="R85" i="3" s="1"/>
  <c r="Q17" i="3"/>
  <c r="Q85" i="3" s="1"/>
  <c r="P17" i="3"/>
  <c r="P85" i="3" s="1"/>
  <c r="N17" i="3"/>
  <c r="N85" i="3" s="1"/>
  <c r="M17" i="3"/>
  <c r="M85" i="3" s="1"/>
  <c r="L17" i="3"/>
  <c r="L85" i="3" s="1"/>
  <c r="J17" i="3"/>
  <c r="J85" i="3" s="1"/>
  <c r="I17" i="3"/>
  <c r="I85" i="3" s="1"/>
  <c r="H17" i="3"/>
  <c r="H85" i="3" s="1"/>
  <c r="F17" i="3"/>
  <c r="F85" i="3" s="1"/>
  <c r="E17" i="3"/>
  <c r="E85" i="3" s="1"/>
  <c r="D17" i="3"/>
  <c r="D85" i="3" s="1"/>
  <c r="R16" i="3"/>
  <c r="R84" i="3" s="1"/>
  <c r="Q16" i="3"/>
  <c r="Q84" i="3" s="1"/>
  <c r="N16" i="3"/>
  <c r="N84" i="3" s="1"/>
  <c r="M16" i="3"/>
  <c r="M84" i="3" s="1"/>
  <c r="J16" i="3"/>
  <c r="J84" i="3" s="1"/>
  <c r="I16" i="3"/>
  <c r="I84" i="3" s="1"/>
  <c r="F16" i="3"/>
  <c r="F84" i="3" s="1"/>
  <c r="E16" i="3"/>
  <c r="E84" i="3" s="1"/>
  <c r="S9" i="3"/>
  <c r="S8" i="3" s="1"/>
  <c r="S76" i="3" s="1"/>
  <c r="R9" i="3"/>
  <c r="Q9" i="3"/>
  <c r="Q77" i="3" s="1"/>
  <c r="P9" i="3"/>
  <c r="P77" i="3" s="1"/>
  <c r="O9" i="3"/>
  <c r="N9" i="3"/>
  <c r="M9" i="3"/>
  <c r="M77" i="3" s="1"/>
  <c r="L9" i="3"/>
  <c r="L77" i="3" s="1"/>
  <c r="K9" i="3"/>
  <c r="J9" i="3"/>
  <c r="I9" i="3"/>
  <c r="I77" i="3" s="1"/>
  <c r="H9" i="3"/>
  <c r="H77" i="3" s="1"/>
  <c r="G9" i="3"/>
  <c r="F9" i="3"/>
  <c r="F77" i="3" s="1"/>
  <c r="E9" i="3"/>
  <c r="E77" i="3" s="1"/>
  <c r="D9" i="3"/>
  <c r="D77" i="3" s="1"/>
  <c r="C9" i="3"/>
  <c r="Q8" i="3"/>
  <c r="P8" i="3"/>
  <c r="O8" i="3"/>
  <c r="O76" i="3" s="1"/>
  <c r="M8" i="3"/>
  <c r="L8" i="3"/>
  <c r="K8" i="3"/>
  <c r="K76" i="3" s="1"/>
  <c r="I8" i="3"/>
  <c r="H8" i="3"/>
  <c r="G8" i="3"/>
  <c r="G76" i="3" s="1"/>
  <c r="E8" i="3"/>
  <c r="D8" i="3"/>
  <c r="C8" i="3"/>
  <c r="C76" i="3" s="1"/>
  <c r="U82" i="56"/>
  <c r="R82" i="56"/>
  <c r="Q82" i="56"/>
  <c r="P82" i="56"/>
  <c r="O82" i="56"/>
  <c r="N82" i="56"/>
  <c r="M82" i="56"/>
  <c r="L82" i="56"/>
  <c r="K82" i="56"/>
  <c r="J82" i="56"/>
  <c r="I82" i="56"/>
  <c r="H82" i="56"/>
  <c r="G82" i="56"/>
  <c r="F82" i="56"/>
  <c r="E82" i="56"/>
  <c r="U81" i="56"/>
  <c r="R81" i="56"/>
  <c r="Q81" i="56"/>
  <c r="P81" i="56"/>
  <c r="O81" i="56"/>
  <c r="N81" i="56"/>
  <c r="M81" i="56"/>
  <c r="L81" i="56"/>
  <c r="K81" i="56"/>
  <c r="J81" i="56"/>
  <c r="I81" i="56"/>
  <c r="H81" i="56"/>
  <c r="G81" i="56"/>
  <c r="F81" i="56"/>
  <c r="E81" i="56"/>
  <c r="D80" i="56"/>
  <c r="C80" i="56"/>
  <c r="U76" i="56"/>
  <c r="R76" i="56"/>
  <c r="Q76" i="56"/>
  <c r="P76" i="56"/>
  <c r="O76" i="56"/>
  <c r="N76" i="56"/>
  <c r="M76" i="56"/>
  <c r="L76" i="56"/>
  <c r="K76" i="56"/>
  <c r="J76" i="56"/>
  <c r="I76" i="56"/>
  <c r="H76" i="56"/>
  <c r="G76" i="56"/>
  <c r="F76" i="56"/>
  <c r="E76" i="56"/>
  <c r="D76" i="56"/>
  <c r="C76" i="56"/>
  <c r="P75" i="56"/>
  <c r="O75" i="56"/>
  <c r="N75" i="56"/>
  <c r="M75" i="56"/>
  <c r="L75" i="56"/>
  <c r="K75" i="56"/>
  <c r="J75" i="56"/>
  <c r="I75" i="56"/>
  <c r="H75" i="56"/>
  <c r="G75" i="56"/>
  <c r="F75" i="56"/>
  <c r="E75" i="56"/>
  <c r="D75" i="56"/>
  <c r="C75" i="56"/>
  <c r="U74" i="56"/>
  <c r="R74" i="56"/>
  <c r="Q74" i="56"/>
  <c r="P74" i="56"/>
  <c r="O74" i="56"/>
  <c r="N74" i="56"/>
  <c r="M74" i="56"/>
  <c r="L74" i="56"/>
  <c r="K74" i="56"/>
  <c r="J74" i="56"/>
  <c r="I74" i="56"/>
  <c r="H74" i="56"/>
  <c r="G74" i="56"/>
  <c r="F74" i="56"/>
  <c r="E74" i="56"/>
  <c r="D74" i="56"/>
  <c r="C74" i="56"/>
  <c r="U72" i="56"/>
  <c r="R72" i="56"/>
  <c r="Q72" i="56"/>
  <c r="P72" i="56"/>
  <c r="O72" i="56"/>
  <c r="N72" i="56"/>
  <c r="M72" i="56"/>
  <c r="L72" i="56"/>
  <c r="K72" i="56"/>
  <c r="J72" i="56"/>
  <c r="I72" i="56"/>
  <c r="H72" i="56"/>
  <c r="G72" i="56"/>
  <c r="F72" i="56"/>
  <c r="E72" i="56"/>
  <c r="D72" i="56"/>
  <c r="C72" i="56"/>
  <c r="U71" i="56"/>
  <c r="R71" i="56"/>
  <c r="Q71" i="56"/>
  <c r="P71" i="56"/>
  <c r="O71" i="56"/>
  <c r="N71" i="56"/>
  <c r="M71" i="56"/>
  <c r="L71" i="56"/>
  <c r="K71" i="56"/>
  <c r="J71" i="56"/>
  <c r="I71" i="56"/>
  <c r="H71" i="56"/>
  <c r="G71" i="56"/>
  <c r="F71" i="56"/>
  <c r="E71" i="56"/>
  <c r="D71" i="56"/>
  <c r="C71" i="56"/>
  <c r="U70" i="56"/>
  <c r="R70" i="56"/>
  <c r="Q70" i="56"/>
  <c r="P70" i="56"/>
  <c r="O70" i="56"/>
  <c r="N70" i="56"/>
  <c r="M70" i="56"/>
  <c r="L70" i="56"/>
  <c r="K70" i="56"/>
  <c r="J70" i="56"/>
  <c r="I70" i="56"/>
  <c r="H70" i="56"/>
  <c r="G70" i="56"/>
  <c r="F70" i="56"/>
  <c r="E70" i="56"/>
  <c r="D70" i="56"/>
  <c r="C70" i="56"/>
  <c r="U69" i="56"/>
  <c r="R69" i="56"/>
  <c r="Q69" i="56"/>
  <c r="P69" i="56"/>
  <c r="O69" i="56"/>
  <c r="N69" i="56"/>
  <c r="M69" i="56"/>
  <c r="L69" i="56"/>
  <c r="K69" i="56"/>
  <c r="J69" i="56"/>
  <c r="I69" i="56"/>
  <c r="H69" i="56"/>
  <c r="G69" i="56"/>
  <c r="F69" i="56"/>
  <c r="E69" i="56"/>
  <c r="D69" i="56"/>
  <c r="C69" i="56"/>
  <c r="U68" i="56"/>
  <c r="R68" i="56"/>
  <c r="Q68" i="56"/>
  <c r="P68" i="56"/>
  <c r="O68" i="56"/>
  <c r="N68" i="56"/>
  <c r="M68" i="56"/>
  <c r="L68" i="56"/>
  <c r="K68" i="56"/>
  <c r="J68" i="56"/>
  <c r="I68" i="56"/>
  <c r="H68" i="56"/>
  <c r="G68" i="56"/>
  <c r="F68" i="56"/>
  <c r="E68" i="56"/>
  <c r="D68" i="56"/>
  <c r="C68" i="56"/>
  <c r="U67" i="56"/>
  <c r="R67" i="56"/>
  <c r="Q67" i="56"/>
  <c r="P67" i="56"/>
  <c r="O67" i="56"/>
  <c r="N67" i="56"/>
  <c r="M67" i="56"/>
  <c r="L67" i="56"/>
  <c r="K67" i="56"/>
  <c r="J67" i="56"/>
  <c r="I67" i="56"/>
  <c r="H67" i="56"/>
  <c r="G67" i="56"/>
  <c r="F67" i="56"/>
  <c r="E67" i="56"/>
  <c r="D67" i="56"/>
  <c r="C67" i="56"/>
  <c r="U64" i="56"/>
  <c r="R64" i="56"/>
  <c r="P63" i="56"/>
  <c r="U62" i="56"/>
  <c r="R62" i="56"/>
  <c r="Q62" i="56"/>
  <c r="P62" i="56"/>
  <c r="O62" i="56"/>
  <c r="N62" i="56"/>
  <c r="M62" i="56"/>
  <c r="L62" i="56"/>
  <c r="K62" i="56"/>
  <c r="U61" i="56"/>
  <c r="R61" i="56"/>
  <c r="Q61" i="56"/>
  <c r="P61" i="56"/>
  <c r="O61" i="56"/>
  <c r="N61" i="56"/>
  <c r="M61" i="56"/>
  <c r="L61" i="56"/>
  <c r="K61" i="56"/>
  <c r="J61" i="56"/>
  <c r="I61" i="56"/>
  <c r="H61" i="56"/>
  <c r="G61" i="56"/>
  <c r="U60" i="56"/>
  <c r="R60" i="56"/>
  <c r="Q60" i="56"/>
  <c r="P60" i="56"/>
  <c r="O60" i="56"/>
  <c r="N60" i="56"/>
  <c r="M60" i="56"/>
  <c r="L60" i="56"/>
  <c r="K60" i="56"/>
  <c r="J60" i="56"/>
  <c r="I60" i="56"/>
  <c r="H60" i="56"/>
  <c r="G60" i="56"/>
  <c r="F60" i="56"/>
  <c r="U59" i="56"/>
  <c r="R59" i="56"/>
  <c r="Q59" i="56"/>
  <c r="P59" i="56"/>
  <c r="O59" i="56"/>
  <c r="N59" i="56"/>
  <c r="M59" i="56"/>
  <c r="L59" i="56"/>
  <c r="K59" i="56"/>
  <c r="J59" i="56"/>
  <c r="I59" i="56"/>
  <c r="H59" i="56"/>
  <c r="G59" i="56"/>
  <c r="F59" i="56"/>
  <c r="E59" i="56"/>
  <c r="D59" i="56"/>
  <c r="U57" i="56"/>
  <c r="R57" i="56"/>
  <c r="Q57" i="56"/>
  <c r="P57" i="56"/>
  <c r="O57" i="56"/>
  <c r="N57" i="56"/>
  <c r="M57" i="56"/>
  <c r="L57" i="56"/>
  <c r="K57" i="56"/>
  <c r="J57" i="56"/>
  <c r="I57" i="56"/>
  <c r="H57" i="56"/>
  <c r="G57" i="56"/>
  <c r="E57" i="56"/>
  <c r="D57" i="56"/>
  <c r="C57" i="56"/>
  <c r="U56" i="56"/>
  <c r="R56" i="56"/>
  <c r="Q56" i="56"/>
  <c r="P56" i="56"/>
  <c r="O56" i="56"/>
  <c r="N56" i="56"/>
  <c r="M56" i="56"/>
  <c r="L56" i="56"/>
  <c r="K56" i="56"/>
  <c r="J56" i="56"/>
  <c r="I56" i="56"/>
  <c r="H56" i="56"/>
  <c r="G56" i="56"/>
  <c r="F56" i="56"/>
  <c r="E56" i="56"/>
  <c r="D56" i="56"/>
  <c r="C56" i="56"/>
  <c r="U55" i="56"/>
  <c r="R55" i="56"/>
  <c r="Q55" i="56"/>
  <c r="P55" i="56"/>
  <c r="O55" i="56"/>
  <c r="N55" i="56"/>
  <c r="M55" i="56"/>
  <c r="L55" i="56"/>
  <c r="K55" i="56"/>
  <c r="J55" i="56"/>
  <c r="I55" i="56"/>
  <c r="H55" i="56"/>
  <c r="G55" i="56"/>
  <c r="F55" i="56"/>
  <c r="E55" i="56"/>
  <c r="D55" i="56"/>
  <c r="C55" i="56"/>
  <c r="U54" i="56"/>
  <c r="R54" i="56"/>
  <c r="Q54" i="56"/>
  <c r="P54" i="56"/>
  <c r="O54" i="56"/>
  <c r="N54" i="56"/>
  <c r="M54" i="56"/>
  <c r="L54" i="56"/>
  <c r="K54" i="56"/>
  <c r="J54" i="56"/>
  <c r="I54" i="56"/>
  <c r="H54" i="56"/>
  <c r="G54" i="56"/>
  <c r="F54" i="56"/>
  <c r="E54" i="56"/>
  <c r="D54" i="56"/>
  <c r="C54" i="56"/>
  <c r="U53" i="56"/>
  <c r="R53" i="56"/>
  <c r="Q53" i="56"/>
  <c r="P53" i="56"/>
  <c r="O53" i="56"/>
  <c r="N53" i="56"/>
  <c r="M53" i="56"/>
  <c r="L53" i="56"/>
  <c r="K53" i="56"/>
  <c r="J53" i="56"/>
  <c r="I53" i="56"/>
  <c r="H53" i="56"/>
  <c r="G53" i="56"/>
  <c r="F53" i="56"/>
  <c r="E53" i="56"/>
  <c r="D53" i="56"/>
  <c r="C53" i="56"/>
  <c r="U36" i="56"/>
  <c r="U80" i="56" s="1"/>
  <c r="R36" i="56"/>
  <c r="R80" i="56" s="1"/>
  <c r="Q36" i="56"/>
  <c r="Q80" i="56" s="1"/>
  <c r="P36" i="56"/>
  <c r="P80" i="56" s="1"/>
  <c r="O36" i="56"/>
  <c r="O80" i="56" s="1"/>
  <c r="N36" i="56"/>
  <c r="N80" i="56" s="1"/>
  <c r="M36" i="56"/>
  <c r="M80" i="56" s="1"/>
  <c r="L36" i="56"/>
  <c r="L80" i="56" s="1"/>
  <c r="K36" i="56"/>
  <c r="K80" i="56" s="1"/>
  <c r="J36" i="56"/>
  <c r="J80" i="56" s="1"/>
  <c r="I36" i="56"/>
  <c r="I80" i="56" s="1"/>
  <c r="H36" i="56"/>
  <c r="H80" i="56" s="1"/>
  <c r="G36" i="56"/>
  <c r="G80" i="56" s="1"/>
  <c r="F36" i="56"/>
  <c r="F80" i="56" s="1"/>
  <c r="E36" i="56"/>
  <c r="E80" i="56" s="1"/>
  <c r="D36" i="56"/>
  <c r="C36" i="56"/>
  <c r="U29" i="56"/>
  <c r="U73" i="56" s="1"/>
  <c r="R29" i="56"/>
  <c r="R73" i="56" s="1"/>
  <c r="Q29" i="56"/>
  <c r="Q73" i="56" s="1"/>
  <c r="P29" i="56"/>
  <c r="P73" i="56" s="1"/>
  <c r="O29" i="56"/>
  <c r="O73" i="56" s="1"/>
  <c r="N29" i="56"/>
  <c r="N73" i="56" s="1"/>
  <c r="M29" i="56"/>
  <c r="M73" i="56" s="1"/>
  <c r="L29" i="56"/>
  <c r="L73" i="56" s="1"/>
  <c r="K29" i="56"/>
  <c r="K73" i="56" s="1"/>
  <c r="J29" i="56"/>
  <c r="J73" i="56" s="1"/>
  <c r="I29" i="56"/>
  <c r="I73" i="56" s="1"/>
  <c r="H29" i="56"/>
  <c r="H73" i="56" s="1"/>
  <c r="G29" i="56"/>
  <c r="G73" i="56" s="1"/>
  <c r="F29" i="56"/>
  <c r="F73" i="56" s="1"/>
  <c r="E29" i="56"/>
  <c r="E73" i="56" s="1"/>
  <c r="D29" i="56"/>
  <c r="D73" i="56" s="1"/>
  <c r="C29" i="56"/>
  <c r="C73" i="56" s="1"/>
  <c r="U22" i="56"/>
  <c r="U66" i="56" s="1"/>
  <c r="R22" i="56"/>
  <c r="R66" i="56" s="1"/>
  <c r="Q22" i="56"/>
  <c r="Q66" i="56" s="1"/>
  <c r="P22" i="56"/>
  <c r="P66" i="56" s="1"/>
  <c r="O22" i="56"/>
  <c r="O66" i="56" s="1"/>
  <c r="N22" i="56"/>
  <c r="N66" i="56" s="1"/>
  <c r="M22" i="56"/>
  <c r="M66" i="56" s="1"/>
  <c r="L22" i="56"/>
  <c r="L66" i="56" s="1"/>
  <c r="K22" i="56"/>
  <c r="K66" i="56" s="1"/>
  <c r="J22" i="56"/>
  <c r="J66" i="56" s="1"/>
  <c r="I22" i="56"/>
  <c r="I66" i="56" s="1"/>
  <c r="H22" i="56"/>
  <c r="H66" i="56" s="1"/>
  <c r="G22" i="56"/>
  <c r="G66" i="56" s="1"/>
  <c r="F22" i="56"/>
  <c r="F66" i="56" s="1"/>
  <c r="E22" i="56"/>
  <c r="E66" i="56" s="1"/>
  <c r="D22" i="56"/>
  <c r="D66" i="56" s="1"/>
  <c r="C22" i="56"/>
  <c r="C66" i="56" s="1"/>
  <c r="U8" i="56"/>
  <c r="R58" i="56"/>
  <c r="Q58" i="56"/>
  <c r="P58" i="56"/>
  <c r="O8" i="56"/>
  <c r="N58" i="56"/>
  <c r="M14" i="56"/>
  <c r="M58" i="56" s="1"/>
  <c r="L14" i="56"/>
  <c r="L58" i="56" s="1"/>
  <c r="K14" i="56"/>
  <c r="K58" i="56" s="1"/>
  <c r="J14" i="56"/>
  <c r="J58" i="56" s="1"/>
  <c r="I14" i="56"/>
  <c r="I58" i="56" s="1"/>
  <c r="H14" i="56"/>
  <c r="H58" i="56" s="1"/>
  <c r="G14" i="56"/>
  <c r="G58" i="56" s="1"/>
  <c r="F14" i="56"/>
  <c r="F58" i="56" s="1"/>
  <c r="E14" i="56"/>
  <c r="E58" i="56" s="1"/>
  <c r="D14" i="56"/>
  <c r="D58" i="56" s="1"/>
  <c r="C14" i="56"/>
  <c r="C8" i="56" s="1"/>
  <c r="F13" i="56"/>
  <c r="F57" i="56" s="1"/>
  <c r="N8" i="56"/>
  <c r="N52" i="56" s="1"/>
  <c r="M8" i="56"/>
  <c r="I8" i="56"/>
  <c r="I7" i="56" s="1"/>
  <c r="H8" i="56"/>
  <c r="H52" i="56" s="1"/>
  <c r="E8" i="56"/>
  <c r="O75" i="19"/>
  <c r="O74" i="19"/>
  <c r="O71" i="19"/>
  <c r="O70" i="19"/>
  <c r="O69" i="19"/>
  <c r="O68" i="19"/>
  <c r="O67" i="19"/>
  <c r="N66" i="19"/>
  <c r="M66" i="19"/>
  <c r="L66" i="19"/>
  <c r="K66" i="19"/>
  <c r="J66" i="19"/>
  <c r="I66" i="19"/>
  <c r="H66" i="19"/>
  <c r="G66" i="19"/>
  <c r="F66" i="19"/>
  <c r="E66" i="19"/>
  <c r="D66" i="19"/>
  <c r="C66" i="19"/>
  <c r="O65" i="19"/>
  <c r="O64" i="19"/>
  <c r="O63" i="19"/>
  <c r="N62" i="19"/>
  <c r="M62" i="19"/>
  <c r="L62" i="19"/>
  <c r="K62" i="19"/>
  <c r="J62" i="19"/>
  <c r="I62" i="19"/>
  <c r="H62" i="19"/>
  <c r="G62" i="19"/>
  <c r="F62" i="19"/>
  <c r="E62" i="19"/>
  <c r="D62" i="19"/>
  <c r="C62" i="19"/>
  <c r="O61" i="19"/>
  <c r="O60" i="19"/>
  <c r="N59" i="19"/>
  <c r="M59" i="19"/>
  <c r="L59" i="19"/>
  <c r="K59" i="19"/>
  <c r="J59" i="19"/>
  <c r="I59" i="19"/>
  <c r="H59" i="19"/>
  <c r="G59" i="19"/>
  <c r="F59" i="19"/>
  <c r="E59" i="19"/>
  <c r="D59" i="19"/>
  <c r="C59" i="19"/>
  <c r="O58" i="19"/>
  <c r="O57" i="19"/>
  <c r="N56" i="19"/>
  <c r="M56" i="19"/>
  <c r="L56" i="19"/>
  <c r="K56" i="19"/>
  <c r="J56" i="19"/>
  <c r="I56" i="19"/>
  <c r="H56" i="19"/>
  <c r="G56" i="19"/>
  <c r="F56" i="19"/>
  <c r="E56" i="19"/>
  <c r="D56" i="19"/>
  <c r="C56" i="19"/>
  <c r="O54" i="19"/>
  <c r="O53" i="19"/>
  <c r="N52" i="19"/>
  <c r="M52" i="19"/>
  <c r="L52" i="19"/>
  <c r="K52" i="19"/>
  <c r="J52" i="19"/>
  <c r="I52" i="19"/>
  <c r="H52" i="19"/>
  <c r="G52" i="19"/>
  <c r="F52" i="19"/>
  <c r="E52" i="19"/>
  <c r="D52" i="19"/>
  <c r="C52" i="19"/>
  <c r="O46" i="19"/>
  <c r="O45" i="19"/>
  <c r="O44" i="19"/>
  <c r="O43" i="19"/>
  <c r="O42" i="19"/>
  <c r="N41" i="19"/>
  <c r="M41" i="19"/>
  <c r="L41" i="19"/>
  <c r="K41" i="19"/>
  <c r="J41" i="19"/>
  <c r="I41" i="19"/>
  <c r="H41" i="19"/>
  <c r="G41" i="19"/>
  <c r="F41" i="19"/>
  <c r="E41" i="19"/>
  <c r="D41" i="19"/>
  <c r="C41" i="19"/>
  <c r="O40" i="19"/>
  <c r="O39" i="19"/>
  <c r="O38" i="19"/>
  <c r="O37" i="19"/>
  <c r="O36" i="19"/>
  <c r="O35" i="19"/>
  <c r="O34" i="19"/>
  <c r="O33" i="19"/>
  <c r="N32" i="19"/>
  <c r="M32" i="19"/>
  <c r="M30" i="19" s="1"/>
  <c r="L32" i="19"/>
  <c r="K32" i="19"/>
  <c r="J32" i="19"/>
  <c r="I32" i="19"/>
  <c r="I30" i="19" s="1"/>
  <c r="H32" i="19"/>
  <c r="G32" i="19"/>
  <c r="G30" i="19" s="1"/>
  <c r="F32" i="19"/>
  <c r="F30" i="19" s="1"/>
  <c r="E32" i="19"/>
  <c r="E30" i="19" s="1"/>
  <c r="D32" i="19"/>
  <c r="C32" i="19"/>
  <c r="C30" i="19" s="1"/>
  <c r="O31" i="19"/>
  <c r="N30" i="19"/>
  <c r="L30" i="19"/>
  <c r="K30" i="19"/>
  <c r="J30" i="19"/>
  <c r="H30" i="19"/>
  <c r="D30" i="19"/>
  <c r="O28" i="19"/>
  <c r="O27" i="19"/>
  <c r="O26" i="19"/>
  <c r="O25" i="19"/>
  <c r="O24" i="19"/>
  <c r="O23" i="19"/>
  <c r="O22" i="19"/>
  <c r="O21" i="19"/>
  <c r="M16" i="19"/>
  <c r="L16" i="19"/>
  <c r="K16" i="19"/>
  <c r="I16" i="19"/>
  <c r="H16" i="19"/>
  <c r="G16" i="19"/>
  <c r="F16" i="19"/>
  <c r="E16" i="19"/>
  <c r="D16" i="19"/>
  <c r="C16" i="19"/>
  <c r="O19" i="19"/>
  <c r="O18" i="19"/>
  <c r="O17" i="19"/>
  <c r="N16" i="19"/>
  <c r="J16" i="19"/>
  <c r="O14" i="19"/>
  <c r="O13" i="19"/>
  <c r="O12" i="19"/>
  <c r="O11" i="19"/>
  <c r="O10" i="19"/>
  <c r="N9" i="19"/>
  <c r="M9" i="19"/>
  <c r="L9" i="19"/>
  <c r="L8" i="19" s="1"/>
  <c r="K9" i="19"/>
  <c r="K8" i="19" s="1"/>
  <c r="J9" i="19"/>
  <c r="J8" i="19" s="1"/>
  <c r="I9" i="19"/>
  <c r="H9" i="19"/>
  <c r="H8" i="19" s="1"/>
  <c r="G9" i="19"/>
  <c r="G8" i="19" s="1"/>
  <c r="F9" i="19"/>
  <c r="E9" i="19"/>
  <c r="D9" i="19"/>
  <c r="D8" i="19" s="1"/>
  <c r="C9" i="19"/>
  <c r="C8" i="19" s="1"/>
  <c r="N8" i="19"/>
  <c r="O74" i="20"/>
  <c r="O73" i="20"/>
  <c r="O70" i="20"/>
  <c r="O69" i="20"/>
  <c r="O68" i="20"/>
  <c r="O67" i="20"/>
  <c r="O66" i="20"/>
  <c r="N65" i="20"/>
  <c r="M65" i="20"/>
  <c r="L65" i="20"/>
  <c r="K65" i="20"/>
  <c r="J65" i="20"/>
  <c r="I65" i="20"/>
  <c r="H65" i="20"/>
  <c r="G65" i="20"/>
  <c r="F65" i="20"/>
  <c r="E65" i="20"/>
  <c r="D65" i="20"/>
  <c r="C65" i="20"/>
  <c r="O65" i="20" s="1"/>
  <c r="O64" i="20"/>
  <c r="O63" i="20"/>
  <c r="O62" i="20"/>
  <c r="N61" i="20"/>
  <c r="M61" i="20"/>
  <c r="L61" i="20"/>
  <c r="K61" i="20"/>
  <c r="J61" i="20"/>
  <c r="I61" i="20"/>
  <c r="H61" i="20"/>
  <c r="G61" i="20"/>
  <c r="F61" i="20"/>
  <c r="E61" i="20"/>
  <c r="D61" i="20"/>
  <c r="C61" i="20"/>
  <c r="O61" i="20" s="1"/>
  <c r="O60" i="20"/>
  <c r="O59" i="20"/>
  <c r="N58" i="20"/>
  <c r="M58" i="20"/>
  <c r="L58" i="20"/>
  <c r="K58" i="20"/>
  <c r="J58" i="20"/>
  <c r="I58" i="20"/>
  <c r="H58" i="20"/>
  <c r="G58" i="20"/>
  <c r="F58" i="20"/>
  <c r="E58" i="20"/>
  <c r="D58" i="20"/>
  <c r="C58" i="20"/>
  <c r="O58" i="20" s="1"/>
  <c r="O57" i="20"/>
  <c r="O56" i="20"/>
  <c r="N55" i="20"/>
  <c r="N54" i="20" s="1"/>
  <c r="M55" i="20"/>
  <c r="L55" i="20"/>
  <c r="K55" i="20"/>
  <c r="J55" i="20"/>
  <c r="J54" i="20" s="1"/>
  <c r="I55" i="20"/>
  <c r="H55" i="20"/>
  <c r="G55" i="20"/>
  <c r="F55" i="20"/>
  <c r="F54" i="20" s="1"/>
  <c r="E55" i="20"/>
  <c r="D55" i="20"/>
  <c r="C55" i="20"/>
  <c r="K54" i="20"/>
  <c r="G54" i="20"/>
  <c r="O53" i="20"/>
  <c r="O52" i="20"/>
  <c r="N51" i="20"/>
  <c r="M51" i="20"/>
  <c r="L51" i="20"/>
  <c r="K51" i="20"/>
  <c r="J51" i="20"/>
  <c r="I51" i="20"/>
  <c r="H51" i="20"/>
  <c r="G51" i="20"/>
  <c r="F51" i="20"/>
  <c r="E51" i="20"/>
  <c r="D51" i="20"/>
  <c r="C51" i="20"/>
  <c r="O51" i="20" s="1"/>
  <c r="O45" i="20"/>
  <c r="O44" i="20"/>
  <c r="O43" i="20"/>
  <c r="O42" i="20"/>
  <c r="O41" i="20"/>
  <c r="N40" i="20"/>
  <c r="M40" i="20"/>
  <c r="L40" i="20"/>
  <c r="K40" i="20"/>
  <c r="J40" i="20"/>
  <c r="I40" i="20"/>
  <c r="H40" i="20"/>
  <c r="G40" i="20"/>
  <c r="F40" i="20"/>
  <c r="E40" i="20"/>
  <c r="D40" i="20"/>
  <c r="C40" i="20"/>
  <c r="O40" i="20" s="1"/>
  <c r="O39" i="20"/>
  <c r="O38" i="20"/>
  <c r="O37" i="20"/>
  <c r="O36" i="20"/>
  <c r="O35" i="20"/>
  <c r="O34" i="20"/>
  <c r="O33" i="20"/>
  <c r="O32" i="20"/>
  <c r="N31" i="20"/>
  <c r="N29" i="20" s="1"/>
  <c r="M31" i="20"/>
  <c r="M29" i="20" s="1"/>
  <c r="L31" i="20"/>
  <c r="K31" i="20"/>
  <c r="J31" i="20"/>
  <c r="J29" i="20" s="1"/>
  <c r="I31" i="20"/>
  <c r="I29" i="20" s="1"/>
  <c r="H31" i="20"/>
  <c r="G31" i="20"/>
  <c r="F31" i="20"/>
  <c r="F29" i="20" s="1"/>
  <c r="E31" i="20"/>
  <c r="E29" i="20" s="1"/>
  <c r="D31" i="20"/>
  <c r="C31" i="20"/>
  <c r="O30" i="20"/>
  <c r="L29" i="20"/>
  <c r="K29" i="20"/>
  <c r="H29" i="20"/>
  <c r="G29" i="20"/>
  <c r="D29" i="20"/>
  <c r="C29" i="20"/>
  <c r="O28" i="20"/>
  <c r="O27" i="20"/>
  <c r="O26" i="20"/>
  <c r="O25" i="20"/>
  <c r="O24" i="20"/>
  <c r="O23" i="20"/>
  <c r="O22" i="20"/>
  <c r="O21" i="20"/>
  <c r="N20" i="20"/>
  <c r="M20" i="20"/>
  <c r="L20" i="20"/>
  <c r="K20" i="20"/>
  <c r="J20" i="20"/>
  <c r="I20" i="20"/>
  <c r="H20" i="20"/>
  <c r="G20" i="20"/>
  <c r="F20" i="20"/>
  <c r="E20" i="20"/>
  <c r="D20" i="20"/>
  <c r="C20" i="20"/>
  <c r="O19" i="20"/>
  <c r="O18" i="20"/>
  <c r="O17" i="20"/>
  <c r="N16" i="20"/>
  <c r="M16" i="20"/>
  <c r="L16" i="20"/>
  <c r="L15" i="20" s="1"/>
  <c r="K16" i="20"/>
  <c r="J16" i="20"/>
  <c r="I16" i="20"/>
  <c r="H16" i="20"/>
  <c r="H15" i="20" s="1"/>
  <c r="G16" i="20"/>
  <c r="F16" i="20"/>
  <c r="E16" i="20"/>
  <c r="D16" i="20"/>
  <c r="D15" i="20" s="1"/>
  <c r="C16" i="20"/>
  <c r="O14" i="20"/>
  <c r="O13" i="20"/>
  <c r="O12" i="20"/>
  <c r="O11" i="20"/>
  <c r="O10" i="20"/>
  <c r="N9" i="20"/>
  <c r="N46" i="20" s="1"/>
  <c r="M9" i="20"/>
  <c r="M46" i="20" s="1"/>
  <c r="L9" i="20"/>
  <c r="L46" i="20" s="1"/>
  <c r="K9" i="20"/>
  <c r="K8" i="20" s="1"/>
  <c r="J9" i="20"/>
  <c r="J46" i="20" s="1"/>
  <c r="I9" i="20"/>
  <c r="I46" i="20" s="1"/>
  <c r="H9" i="20"/>
  <c r="H46" i="20" s="1"/>
  <c r="G9" i="20"/>
  <c r="G8" i="20" s="1"/>
  <c r="F9" i="20"/>
  <c r="F46" i="20" s="1"/>
  <c r="E9" i="20"/>
  <c r="E46" i="20" s="1"/>
  <c r="D9" i="20"/>
  <c r="D46" i="20" s="1"/>
  <c r="C9" i="20"/>
  <c r="C8" i="20" s="1"/>
  <c r="N8" i="20"/>
  <c r="M8" i="20"/>
  <c r="L8" i="20"/>
  <c r="J8" i="20"/>
  <c r="H8" i="20"/>
  <c r="H48" i="20" s="1"/>
  <c r="F8" i="20"/>
  <c r="E8" i="20"/>
  <c r="O74" i="57"/>
  <c r="O73" i="57"/>
  <c r="O70" i="57"/>
  <c r="O69" i="57"/>
  <c r="O68" i="57"/>
  <c r="O67" i="57"/>
  <c r="O66" i="57"/>
  <c r="N65" i="57"/>
  <c r="M65" i="57"/>
  <c r="L65" i="57"/>
  <c r="K65" i="57"/>
  <c r="J65" i="57"/>
  <c r="I65" i="57"/>
  <c r="H65" i="57"/>
  <c r="G65" i="57"/>
  <c r="F65" i="57"/>
  <c r="E65" i="57"/>
  <c r="D65" i="57"/>
  <c r="C65" i="57"/>
  <c r="O64" i="57"/>
  <c r="O63" i="57"/>
  <c r="O62" i="57"/>
  <c r="N61" i="57"/>
  <c r="M61" i="57"/>
  <c r="L61" i="57"/>
  <c r="K61" i="57"/>
  <c r="J61" i="57"/>
  <c r="I61" i="57"/>
  <c r="H61" i="57"/>
  <c r="G61" i="57"/>
  <c r="F61" i="57"/>
  <c r="E61" i="57"/>
  <c r="D61" i="57"/>
  <c r="C61" i="57"/>
  <c r="O60" i="57"/>
  <c r="O59" i="57"/>
  <c r="N58" i="57"/>
  <c r="M58" i="57"/>
  <c r="L58" i="57"/>
  <c r="K58" i="57"/>
  <c r="J58" i="57"/>
  <c r="I58" i="57"/>
  <c r="H58" i="57"/>
  <c r="G58" i="57"/>
  <c r="F58" i="57"/>
  <c r="E58" i="57"/>
  <c r="D58" i="57"/>
  <c r="C58" i="57"/>
  <c r="O57" i="57"/>
  <c r="O56" i="57"/>
  <c r="N55" i="57"/>
  <c r="M55" i="57"/>
  <c r="L55" i="57"/>
  <c r="K55" i="57"/>
  <c r="J55" i="57"/>
  <c r="I55" i="57"/>
  <c r="H55" i="57"/>
  <c r="G55" i="57"/>
  <c r="F55" i="57"/>
  <c r="E55" i="57"/>
  <c r="D55" i="57"/>
  <c r="C55" i="57"/>
  <c r="O53" i="57"/>
  <c r="O52" i="57"/>
  <c r="N51" i="57"/>
  <c r="M51" i="57"/>
  <c r="L51" i="57"/>
  <c r="K51" i="57"/>
  <c r="J51" i="57"/>
  <c r="I51" i="57"/>
  <c r="H51" i="57"/>
  <c r="G51" i="57"/>
  <c r="F51" i="57"/>
  <c r="E51" i="57"/>
  <c r="D51" i="57"/>
  <c r="C51" i="57"/>
  <c r="O45" i="57"/>
  <c r="O44" i="57"/>
  <c r="O43" i="57"/>
  <c r="O42" i="57"/>
  <c r="O41" i="57"/>
  <c r="N40" i="57"/>
  <c r="M40" i="57"/>
  <c r="L40" i="57"/>
  <c r="K40" i="57"/>
  <c r="J40" i="57"/>
  <c r="I40" i="57"/>
  <c r="H40" i="57"/>
  <c r="G40" i="57"/>
  <c r="F40" i="57"/>
  <c r="E40" i="57"/>
  <c r="D40" i="57"/>
  <c r="C40" i="57"/>
  <c r="O39" i="57"/>
  <c r="O38" i="57"/>
  <c r="O37" i="57"/>
  <c r="O36" i="57"/>
  <c r="O35" i="57"/>
  <c r="O34" i="57"/>
  <c r="O33" i="57"/>
  <c r="O32" i="57"/>
  <c r="N31" i="57"/>
  <c r="N29" i="57" s="1"/>
  <c r="M31" i="57"/>
  <c r="M29" i="57" s="1"/>
  <c r="L31" i="57"/>
  <c r="K31" i="57"/>
  <c r="J31" i="57"/>
  <c r="J29" i="57" s="1"/>
  <c r="I31" i="57"/>
  <c r="I29" i="57" s="1"/>
  <c r="H31" i="57"/>
  <c r="G31" i="57"/>
  <c r="F31" i="57"/>
  <c r="F29" i="57" s="1"/>
  <c r="E31" i="57"/>
  <c r="E29" i="57" s="1"/>
  <c r="D31" i="57"/>
  <c r="C31" i="57"/>
  <c r="O30" i="57"/>
  <c r="L29" i="57"/>
  <c r="K29" i="57"/>
  <c r="H29" i="57"/>
  <c r="G29" i="57"/>
  <c r="D29" i="57"/>
  <c r="C29" i="57"/>
  <c r="O28" i="57"/>
  <c r="O27" i="57"/>
  <c r="O26" i="57"/>
  <c r="O25" i="57"/>
  <c r="O24" i="57"/>
  <c r="O23" i="57"/>
  <c r="O22" i="57"/>
  <c r="O21" i="57"/>
  <c r="N20" i="57"/>
  <c r="M20" i="57"/>
  <c r="M16" i="57" s="1"/>
  <c r="L20" i="57"/>
  <c r="K20" i="57"/>
  <c r="J20" i="57"/>
  <c r="I20" i="57"/>
  <c r="I16" i="57" s="1"/>
  <c r="H20" i="57"/>
  <c r="G20" i="57"/>
  <c r="F20" i="57"/>
  <c r="E20" i="57"/>
  <c r="E16" i="57" s="1"/>
  <c r="D20" i="57"/>
  <c r="C20" i="57"/>
  <c r="O19" i="57"/>
  <c r="O18" i="57"/>
  <c r="O17" i="57"/>
  <c r="N16" i="57"/>
  <c r="L16" i="57"/>
  <c r="L15" i="57" s="1"/>
  <c r="K16" i="57"/>
  <c r="J16" i="57"/>
  <c r="H16" i="57"/>
  <c r="H15" i="57" s="1"/>
  <c r="G16" i="57"/>
  <c r="F16" i="57"/>
  <c r="D16" i="57"/>
  <c r="D15" i="57" s="1"/>
  <c r="C16" i="57"/>
  <c r="O14" i="57"/>
  <c r="O13" i="57"/>
  <c r="O12" i="57"/>
  <c r="O11" i="57"/>
  <c r="O10" i="57"/>
  <c r="N9" i="57"/>
  <c r="N46" i="57" s="1"/>
  <c r="M9" i="57"/>
  <c r="L9" i="57"/>
  <c r="L46" i="57" s="1"/>
  <c r="K9" i="57"/>
  <c r="K8" i="57" s="1"/>
  <c r="J9" i="57"/>
  <c r="J46" i="57" s="1"/>
  <c r="I9" i="57"/>
  <c r="H9" i="57"/>
  <c r="H46" i="57" s="1"/>
  <c r="G9" i="57"/>
  <c r="G8" i="57" s="1"/>
  <c r="F9" i="57"/>
  <c r="F46" i="57" s="1"/>
  <c r="E9" i="57"/>
  <c r="D9" i="57"/>
  <c r="D46" i="57" s="1"/>
  <c r="C9" i="57"/>
  <c r="C8" i="57" s="1"/>
  <c r="N8" i="57"/>
  <c r="M8" i="57"/>
  <c r="L8" i="57"/>
  <c r="J8" i="57"/>
  <c r="H8" i="57"/>
  <c r="H48" i="57" s="1"/>
  <c r="F8" i="57"/>
  <c r="O74" i="18"/>
  <c r="O73" i="18"/>
  <c r="O70" i="18"/>
  <c r="O69" i="18"/>
  <c r="O68" i="18"/>
  <c r="O67" i="18"/>
  <c r="O66" i="18"/>
  <c r="N65" i="18"/>
  <c r="M65" i="18"/>
  <c r="L65" i="18"/>
  <c r="K65" i="18"/>
  <c r="J65" i="18"/>
  <c r="I65" i="18"/>
  <c r="H65" i="18"/>
  <c r="G65" i="18"/>
  <c r="F65" i="18"/>
  <c r="E65" i="18"/>
  <c r="D65" i="18"/>
  <c r="C65" i="18"/>
  <c r="O64" i="18"/>
  <c r="O63" i="18"/>
  <c r="O62" i="18"/>
  <c r="N61" i="18"/>
  <c r="M61" i="18"/>
  <c r="L61" i="18"/>
  <c r="K61" i="18"/>
  <c r="J61" i="18"/>
  <c r="I61" i="18"/>
  <c r="H61" i="18"/>
  <c r="G61" i="18"/>
  <c r="F61" i="18"/>
  <c r="E61" i="18"/>
  <c r="D61" i="18"/>
  <c r="C61" i="18"/>
  <c r="O60" i="18"/>
  <c r="O59" i="18"/>
  <c r="N58" i="18"/>
  <c r="M58" i="18"/>
  <c r="L58" i="18"/>
  <c r="K58" i="18"/>
  <c r="J58" i="18"/>
  <c r="I58" i="18"/>
  <c r="H58" i="18"/>
  <c r="G58" i="18"/>
  <c r="F58" i="18"/>
  <c r="E58" i="18"/>
  <c r="D58" i="18"/>
  <c r="C58" i="18"/>
  <c r="O57" i="18"/>
  <c r="O56" i="18"/>
  <c r="N55" i="18"/>
  <c r="M55" i="18"/>
  <c r="L55" i="18"/>
  <c r="K55" i="18"/>
  <c r="J55" i="18"/>
  <c r="I55" i="18"/>
  <c r="H55" i="18"/>
  <c r="G55" i="18"/>
  <c r="F55" i="18"/>
  <c r="E55" i="18"/>
  <c r="D55" i="18"/>
  <c r="C55" i="18"/>
  <c r="O53" i="18"/>
  <c r="O52" i="18"/>
  <c r="N51" i="18"/>
  <c r="M51" i="18"/>
  <c r="L51" i="18"/>
  <c r="K51" i="18"/>
  <c r="J51" i="18"/>
  <c r="I51" i="18"/>
  <c r="H51" i="18"/>
  <c r="G51" i="18"/>
  <c r="F51" i="18"/>
  <c r="E51" i="18"/>
  <c r="D51" i="18"/>
  <c r="C51" i="18"/>
  <c r="O45" i="18"/>
  <c r="O44" i="18"/>
  <c r="O43" i="18"/>
  <c r="O42" i="18"/>
  <c r="O41" i="18"/>
  <c r="N40" i="18"/>
  <c r="M40" i="18"/>
  <c r="L40" i="18"/>
  <c r="K40" i="18"/>
  <c r="J40" i="18"/>
  <c r="I40" i="18"/>
  <c r="H40" i="18"/>
  <c r="G40" i="18"/>
  <c r="F40" i="18"/>
  <c r="E40" i="18"/>
  <c r="D40" i="18"/>
  <c r="C40" i="18"/>
  <c r="O39" i="18"/>
  <c r="O38" i="18"/>
  <c r="O37" i="18"/>
  <c r="O36" i="18"/>
  <c r="O35" i="18"/>
  <c r="O34" i="18"/>
  <c r="O33" i="18"/>
  <c r="O32" i="18"/>
  <c r="N31" i="18"/>
  <c r="M31" i="18"/>
  <c r="M29" i="18" s="1"/>
  <c r="L31" i="18"/>
  <c r="K31" i="18"/>
  <c r="J31" i="18"/>
  <c r="I31" i="18"/>
  <c r="I29" i="18" s="1"/>
  <c r="H31" i="18"/>
  <c r="G31" i="18"/>
  <c r="F31" i="18"/>
  <c r="E31" i="18"/>
  <c r="E29" i="18" s="1"/>
  <c r="D31" i="18"/>
  <c r="C31" i="18"/>
  <c r="O30" i="18"/>
  <c r="N29" i="18"/>
  <c r="L29" i="18"/>
  <c r="K29" i="18"/>
  <c r="J29" i="18"/>
  <c r="H29" i="18"/>
  <c r="G29" i="18"/>
  <c r="F29" i="18"/>
  <c r="D29" i="18"/>
  <c r="C29" i="18"/>
  <c r="O28" i="18"/>
  <c r="O27" i="18"/>
  <c r="O26" i="18"/>
  <c r="O25" i="18"/>
  <c r="O24" i="18"/>
  <c r="O23" i="18"/>
  <c r="O22" i="18"/>
  <c r="O21" i="18"/>
  <c r="N20" i="18"/>
  <c r="M20" i="18"/>
  <c r="L20" i="18"/>
  <c r="K20" i="18"/>
  <c r="J20" i="18"/>
  <c r="I20" i="18"/>
  <c r="H20" i="18"/>
  <c r="G20" i="18"/>
  <c r="F20" i="18"/>
  <c r="E20" i="18"/>
  <c r="D20" i="18"/>
  <c r="C20" i="18"/>
  <c r="O20" i="18" s="1"/>
  <c r="O19" i="18"/>
  <c r="O18" i="18"/>
  <c r="O17" i="18"/>
  <c r="N16" i="18"/>
  <c r="M16" i="18"/>
  <c r="L16" i="18"/>
  <c r="L15" i="18" s="1"/>
  <c r="K16" i="18"/>
  <c r="J16" i="18"/>
  <c r="I16" i="18"/>
  <c r="H16" i="18"/>
  <c r="H15" i="18" s="1"/>
  <c r="G16" i="18"/>
  <c r="F16" i="18"/>
  <c r="E16" i="18"/>
  <c r="D16" i="18"/>
  <c r="D15" i="18" s="1"/>
  <c r="C16" i="18"/>
  <c r="O14" i="18"/>
  <c r="O13" i="18"/>
  <c r="O12" i="18"/>
  <c r="O11" i="18"/>
  <c r="O10" i="18"/>
  <c r="N9" i="18"/>
  <c r="N46" i="18" s="1"/>
  <c r="M9" i="18"/>
  <c r="M46" i="18" s="1"/>
  <c r="L9" i="18"/>
  <c r="L46" i="18" s="1"/>
  <c r="K9" i="18"/>
  <c r="K8" i="18" s="1"/>
  <c r="J9" i="18"/>
  <c r="J46" i="18" s="1"/>
  <c r="I9" i="18"/>
  <c r="I46" i="18" s="1"/>
  <c r="H9" i="18"/>
  <c r="H46" i="18" s="1"/>
  <c r="G9" i="18"/>
  <c r="G8" i="18" s="1"/>
  <c r="F9" i="18"/>
  <c r="F46" i="18" s="1"/>
  <c r="E9" i="18"/>
  <c r="E46" i="18" s="1"/>
  <c r="D9" i="18"/>
  <c r="D46" i="18" s="1"/>
  <c r="C9" i="18"/>
  <c r="C8" i="18" s="1"/>
  <c r="N8" i="18"/>
  <c r="M8" i="18"/>
  <c r="L8" i="18"/>
  <c r="J8" i="18"/>
  <c r="H8" i="18"/>
  <c r="F8" i="18"/>
  <c r="E8" i="18"/>
  <c r="O74" i="17"/>
  <c r="O73" i="17"/>
  <c r="O70" i="17"/>
  <c r="O69" i="17"/>
  <c r="O68" i="17"/>
  <c r="O67" i="17"/>
  <c r="O66" i="17"/>
  <c r="N65" i="17"/>
  <c r="M65" i="17"/>
  <c r="L65" i="17"/>
  <c r="K65" i="17"/>
  <c r="J65" i="17"/>
  <c r="I65" i="17"/>
  <c r="H65" i="17"/>
  <c r="G65" i="17"/>
  <c r="F65" i="17"/>
  <c r="E65" i="17"/>
  <c r="D65" i="17"/>
  <c r="C65" i="17"/>
  <c r="O64" i="17"/>
  <c r="O63" i="17"/>
  <c r="O62" i="17"/>
  <c r="N61" i="17"/>
  <c r="M61" i="17"/>
  <c r="L61" i="17"/>
  <c r="K61" i="17"/>
  <c r="J61" i="17"/>
  <c r="I61" i="17"/>
  <c r="H61" i="17"/>
  <c r="G61" i="17"/>
  <c r="F61" i="17"/>
  <c r="E61" i="17"/>
  <c r="D61" i="17"/>
  <c r="C61" i="17"/>
  <c r="O60" i="17"/>
  <c r="O59" i="17"/>
  <c r="N58" i="17"/>
  <c r="M58" i="17"/>
  <c r="L58" i="17"/>
  <c r="K58" i="17"/>
  <c r="J58" i="17"/>
  <c r="I58" i="17"/>
  <c r="H58" i="17"/>
  <c r="G58" i="17"/>
  <c r="F58" i="17"/>
  <c r="E58" i="17"/>
  <c r="D58" i="17"/>
  <c r="C58" i="17"/>
  <c r="O57" i="17"/>
  <c r="O56" i="17"/>
  <c r="N55" i="17"/>
  <c r="M55" i="17"/>
  <c r="L55" i="17"/>
  <c r="K55" i="17"/>
  <c r="J55" i="17"/>
  <c r="I55" i="17"/>
  <c r="H55" i="17"/>
  <c r="G55" i="17"/>
  <c r="F55" i="17"/>
  <c r="E55" i="17"/>
  <c r="D55" i="17"/>
  <c r="C55" i="17"/>
  <c r="O53" i="17"/>
  <c r="O52" i="17"/>
  <c r="N51" i="17"/>
  <c r="M51" i="17"/>
  <c r="L51" i="17"/>
  <c r="K51" i="17"/>
  <c r="J51" i="17"/>
  <c r="I51" i="17"/>
  <c r="H51" i="17"/>
  <c r="G51" i="17"/>
  <c r="F51" i="17"/>
  <c r="E51" i="17"/>
  <c r="D51" i="17"/>
  <c r="C51" i="17"/>
  <c r="O45" i="17"/>
  <c r="O44" i="17"/>
  <c r="O43" i="17"/>
  <c r="O42" i="17"/>
  <c r="O41" i="17"/>
  <c r="N40" i="17"/>
  <c r="M40" i="17"/>
  <c r="L40" i="17"/>
  <c r="K40" i="17"/>
  <c r="J40" i="17"/>
  <c r="I40" i="17"/>
  <c r="H40" i="17"/>
  <c r="G40" i="17"/>
  <c r="F40" i="17"/>
  <c r="E40" i="17"/>
  <c r="D40" i="17"/>
  <c r="C40" i="17"/>
  <c r="O39" i="17"/>
  <c r="O38" i="17"/>
  <c r="O37" i="17"/>
  <c r="O36" i="17"/>
  <c r="O35" i="17"/>
  <c r="O34" i="17"/>
  <c r="O33" i="17"/>
  <c r="O32" i="17"/>
  <c r="N31" i="17"/>
  <c r="M31" i="17"/>
  <c r="M29" i="17" s="1"/>
  <c r="L31" i="17"/>
  <c r="K31" i="17"/>
  <c r="J31" i="17"/>
  <c r="I31" i="17"/>
  <c r="I29" i="17" s="1"/>
  <c r="H31" i="17"/>
  <c r="G31" i="17"/>
  <c r="F31" i="17"/>
  <c r="E31" i="17"/>
  <c r="E29" i="17" s="1"/>
  <c r="D31" i="17"/>
  <c r="C31" i="17"/>
  <c r="O30" i="17"/>
  <c r="N29" i="17"/>
  <c r="L29" i="17"/>
  <c r="K29" i="17"/>
  <c r="J29" i="17"/>
  <c r="H29" i="17"/>
  <c r="G29" i="17"/>
  <c r="F29" i="17"/>
  <c r="D29" i="17"/>
  <c r="C29" i="17"/>
  <c r="O29" i="17" s="1"/>
  <c r="O28" i="17"/>
  <c r="O27" i="17"/>
  <c r="O26" i="17"/>
  <c r="O25" i="17"/>
  <c r="O24" i="17"/>
  <c r="O23" i="17"/>
  <c r="O22" i="17"/>
  <c r="O21" i="17"/>
  <c r="N20" i="17"/>
  <c r="M20" i="17"/>
  <c r="L20" i="17"/>
  <c r="K20" i="17"/>
  <c r="J20" i="17"/>
  <c r="I20" i="17"/>
  <c r="H20" i="17"/>
  <c r="G20" i="17"/>
  <c r="F20" i="17"/>
  <c r="E20" i="17"/>
  <c r="D20" i="17"/>
  <c r="C20" i="17"/>
  <c r="O20" i="17" s="1"/>
  <c r="O19" i="17"/>
  <c r="O18" i="17"/>
  <c r="O17" i="17"/>
  <c r="N16" i="17"/>
  <c r="M16" i="17"/>
  <c r="L16" i="17"/>
  <c r="K16" i="17"/>
  <c r="J16" i="17"/>
  <c r="I16" i="17"/>
  <c r="H16" i="17"/>
  <c r="G16" i="17"/>
  <c r="F16" i="17"/>
  <c r="E16" i="17"/>
  <c r="D16" i="17"/>
  <c r="C16" i="17"/>
  <c r="O14" i="17"/>
  <c r="O13" i="17"/>
  <c r="O12" i="17"/>
  <c r="O11" i="17"/>
  <c r="O10" i="17"/>
  <c r="N9" i="17"/>
  <c r="N46" i="17" s="1"/>
  <c r="M9" i="17"/>
  <c r="M46" i="17" s="1"/>
  <c r="L9" i="17"/>
  <c r="L46" i="17" s="1"/>
  <c r="K9" i="17"/>
  <c r="K8" i="17" s="1"/>
  <c r="J9" i="17"/>
  <c r="J46" i="17" s="1"/>
  <c r="I9" i="17"/>
  <c r="I46" i="17" s="1"/>
  <c r="H9" i="17"/>
  <c r="H46" i="17" s="1"/>
  <c r="G9" i="17"/>
  <c r="G8" i="17" s="1"/>
  <c r="F9" i="17"/>
  <c r="F46" i="17" s="1"/>
  <c r="E9" i="17"/>
  <c r="E46" i="17" s="1"/>
  <c r="D9" i="17"/>
  <c r="D46" i="17" s="1"/>
  <c r="C9" i="17"/>
  <c r="C8" i="17" s="1"/>
  <c r="N8" i="17"/>
  <c r="M8" i="17"/>
  <c r="L8" i="17"/>
  <c r="J8" i="17"/>
  <c r="I8" i="17"/>
  <c r="H8" i="17"/>
  <c r="F8" i="17"/>
  <c r="E8" i="17"/>
  <c r="D8" i="17"/>
  <c r="O74" i="16"/>
  <c r="O73" i="16"/>
  <c r="O70" i="16"/>
  <c r="O69" i="16"/>
  <c r="O68" i="16"/>
  <c r="O67" i="16"/>
  <c r="O66" i="16"/>
  <c r="N65" i="16"/>
  <c r="M65" i="16"/>
  <c r="L65" i="16"/>
  <c r="K65" i="16"/>
  <c r="J65" i="16"/>
  <c r="I65" i="16"/>
  <c r="H65" i="16"/>
  <c r="G65" i="16"/>
  <c r="F65" i="16"/>
  <c r="E65" i="16"/>
  <c r="D65" i="16"/>
  <c r="C65" i="16"/>
  <c r="O64" i="16"/>
  <c r="O63" i="16"/>
  <c r="O62" i="16"/>
  <c r="N61" i="16"/>
  <c r="M61" i="16"/>
  <c r="L61" i="16"/>
  <c r="K61" i="16"/>
  <c r="J61" i="16"/>
  <c r="I61" i="16"/>
  <c r="H61" i="16"/>
  <c r="G61" i="16"/>
  <c r="F61" i="16"/>
  <c r="E61" i="16"/>
  <c r="D61" i="16"/>
  <c r="C61" i="16"/>
  <c r="O60" i="16"/>
  <c r="O59" i="16"/>
  <c r="N58" i="16"/>
  <c r="M58" i="16"/>
  <c r="L58" i="16"/>
  <c r="K58" i="16"/>
  <c r="J58" i="16"/>
  <c r="I58" i="16"/>
  <c r="H58" i="16"/>
  <c r="G58" i="16"/>
  <c r="F58" i="16"/>
  <c r="E58" i="16"/>
  <c r="D58" i="16"/>
  <c r="C58" i="16"/>
  <c r="O57" i="16"/>
  <c r="O56" i="16"/>
  <c r="N55" i="16"/>
  <c r="M55" i="16"/>
  <c r="L55" i="16"/>
  <c r="L54" i="16" s="1"/>
  <c r="K55" i="16"/>
  <c r="J55" i="16"/>
  <c r="I55" i="16"/>
  <c r="H55" i="16"/>
  <c r="H54" i="16" s="1"/>
  <c r="G55" i="16"/>
  <c r="F55" i="16"/>
  <c r="E55" i="16"/>
  <c r="D55" i="16"/>
  <c r="D54" i="16" s="1"/>
  <c r="C55" i="16"/>
  <c r="O53" i="16"/>
  <c r="O52" i="16"/>
  <c r="N51" i="16"/>
  <c r="M51" i="16"/>
  <c r="L51" i="16"/>
  <c r="K51" i="16"/>
  <c r="J51" i="16"/>
  <c r="I51" i="16"/>
  <c r="H51" i="16"/>
  <c r="G51" i="16"/>
  <c r="F51" i="16"/>
  <c r="E51" i="16"/>
  <c r="D51" i="16"/>
  <c r="C51" i="16"/>
  <c r="O45" i="16"/>
  <c r="O44" i="16"/>
  <c r="O43" i="16"/>
  <c r="O42" i="16"/>
  <c r="O41" i="16"/>
  <c r="N40" i="16"/>
  <c r="M40" i="16"/>
  <c r="L40" i="16"/>
  <c r="K40" i="16"/>
  <c r="J40" i="16"/>
  <c r="I40" i="16"/>
  <c r="H40" i="16"/>
  <c r="G40" i="16"/>
  <c r="F40" i="16"/>
  <c r="E40" i="16"/>
  <c r="D40" i="16"/>
  <c r="C40" i="16"/>
  <c r="O39" i="16"/>
  <c r="O38" i="16"/>
  <c r="O37" i="16"/>
  <c r="O36" i="16"/>
  <c r="O35" i="16"/>
  <c r="O34" i="16"/>
  <c r="O33" i="16"/>
  <c r="O32" i="16"/>
  <c r="N31" i="16"/>
  <c r="N29" i="16" s="1"/>
  <c r="M31" i="16"/>
  <c r="L31" i="16"/>
  <c r="L29" i="16" s="1"/>
  <c r="K31" i="16"/>
  <c r="J31" i="16"/>
  <c r="I31" i="16"/>
  <c r="H31" i="16"/>
  <c r="H29" i="16" s="1"/>
  <c r="G31" i="16"/>
  <c r="F31" i="16"/>
  <c r="E31" i="16"/>
  <c r="D31" i="16"/>
  <c r="D29" i="16" s="1"/>
  <c r="C31" i="16"/>
  <c r="O30" i="16"/>
  <c r="M29" i="16"/>
  <c r="K29" i="16"/>
  <c r="J29" i="16"/>
  <c r="I29" i="16"/>
  <c r="G29" i="16"/>
  <c r="F29" i="16"/>
  <c r="E29" i="16"/>
  <c r="C29" i="16"/>
  <c r="O28" i="16"/>
  <c r="O27" i="16"/>
  <c r="O26" i="16"/>
  <c r="O25" i="16"/>
  <c r="O24" i="16"/>
  <c r="O23" i="16"/>
  <c r="O22" i="16"/>
  <c r="O21" i="16"/>
  <c r="N20" i="16"/>
  <c r="M20" i="16"/>
  <c r="L20" i="16"/>
  <c r="K20" i="16"/>
  <c r="J20" i="16"/>
  <c r="I20" i="16"/>
  <c r="H20" i="16"/>
  <c r="G20" i="16"/>
  <c r="F20" i="16"/>
  <c r="E20" i="16"/>
  <c r="D20" i="16"/>
  <c r="C20" i="16"/>
  <c r="O19" i="16"/>
  <c r="O18" i="16"/>
  <c r="O17" i="16"/>
  <c r="N16" i="16"/>
  <c r="M16" i="16"/>
  <c r="L16" i="16"/>
  <c r="K16" i="16"/>
  <c r="J16" i="16"/>
  <c r="I16" i="16"/>
  <c r="H16" i="16"/>
  <c r="G16" i="16"/>
  <c r="F16" i="16"/>
  <c r="E16" i="16"/>
  <c r="D16" i="16"/>
  <c r="C16" i="16"/>
  <c r="M15" i="16"/>
  <c r="I15" i="16"/>
  <c r="E15" i="16"/>
  <c r="O14" i="16"/>
  <c r="O13" i="16"/>
  <c r="O12" i="16"/>
  <c r="O11" i="16"/>
  <c r="O10" i="16"/>
  <c r="N9" i="16"/>
  <c r="N8" i="16" s="1"/>
  <c r="M9" i="16"/>
  <c r="M46" i="16" s="1"/>
  <c r="L9" i="16"/>
  <c r="L46" i="16" s="1"/>
  <c r="K9" i="16"/>
  <c r="K46" i="16" s="1"/>
  <c r="J9" i="16"/>
  <c r="J8" i="16" s="1"/>
  <c r="I9" i="16"/>
  <c r="I46" i="16" s="1"/>
  <c r="H9" i="16"/>
  <c r="H46" i="16" s="1"/>
  <c r="G9" i="16"/>
  <c r="G46" i="16" s="1"/>
  <c r="F9" i="16"/>
  <c r="F8" i="16" s="1"/>
  <c r="E9" i="16"/>
  <c r="E46" i="16" s="1"/>
  <c r="D9" i="16"/>
  <c r="D46" i="16" s="1"/>
  <c r="C9" i="16"/>
  <c r="C46" i="16" s="1"/>
  <c r="M8" i="16"/>
  <c r="M48" i="16" s="1"/>
  <c r="L8" i="16"/>
  <c r="K8" i="16"/>
  <c r="I8" i="16"/>
  <c r="H8" i="16"/>
  <c r="G8" i="16"/>
  <c r="E8" i="16"/>
  <c r="E48" i="16" s="1"/>
  <c r="D8" i="16"/>
  <c r="C8" i="16"/>
  <c r="O74" i="15"/>
  <c r="O73" i="15"/>
  <c r="O70" i="15"/>
  <c r="O69" i="15"/>
  <c r="O68" i="15"/>
  <c r="O67" i="15"/>
  <c r="O66" i="15"/>
  <c r="N65" i="15"/>
  <c r="M65" i="15"/>
  <c r="L65" i="15"/>
  <c r="K65" i="15"/>
  <c r="J65" i="15"/>
  <c r="I65" i="15"/>
  <c r="H65" i="15"/>
  <c r="G65" i="15"/>
  <c r="F65" i="15"/>
  <c r="E65" i="15"/>
  <c r="D65" i="15"/>
  <c r="C65" i="15"/>
  <c r="O65" i="15" s="1"/>
  <c r="O64" i="15"/>
  <c r="O63" i="15"/>
  <c r="O62" i="15"/>
  <c r="N61" i="15"/>
  <c r="M61" i="15"/>
  <c r="L61" i="15"/>
  <c r="K61" i="15"/>
  <c r="J61" i="15"/>
  <c r="I61" i="15"/>
  <c r="H61" i="15"/>
  <c r="G61" i="15"/>
  <c r="F61" i="15"/>
  <c r="E61" i="15"/>
  <c r="D61" i="15"/>
  <c r="C61" i="15"/>
  <c r="O60" i="15"/>
  <c r="O59" i="15"/>
  <c r="N58" i="15"/>
  <c r="M58" i="15"/>
  <c r="L58" i="15"/>
  <c r="K58" i="15"/>
  <c r="J58" i="15"/>
  <c r="I58" i="15"/>
  <c r="H58" i="15"/>
  <c r="G58" i="15"/>
  <c r="F58" i="15"/>
  <c r="E58" i="15"/>
  <c r="D58" i="15"/>
  <c r="C58" i="15"/>
  <c r="O57" i="15"/>
  <c r="O56" i="15"/>
  <c r="N55" i="15"/>
  <c r="N54" i="15" s="1"/>
  <c r="M55" i="15"/>
  <c r="L55" i="15"/>
  <c r="K55" i="15"/>
  <c r="J55" i="15"/>
  <c r="J54" i="15" s="1"/>
  <c r="I55" i="15"/>
  <c r="H55" i="15"/>
  <c r="G55" i="15"/>
  <c r="F55" i="15"/>
  <c r="F54" i="15" s="1"/>
  <c r="E55" i="15"/>
  <c r="D55" i="15"/>
  <c r="C55" i="15"/>
  <c r="K54" i="15"/>
  <c r="O53" i="15"/>
  <c r="O52" i="15"/>
  <c r="N51" i="15"/>
  <c r="M51" i="15"/>
  <c r="L51" i="15"/>
  <c r="K51" i="15"/>
  <c r="J51" i="15"/>
  <c r="I51" i="15"/>
  <c r="H51" i="15"/>
  <c r="G51" i="15"/>
  <c r="F51" i="15"/>
  <c r="E51" i="15"/>
  <c r="D51" i="15"/>
  <c r="C51" i="15"/>
  <c r="O45" i="15"/>
  <c r="O44" i="15"/>
  <c r="O43" i="15"/>
  <c r="O42" i="15"/>
  <c r="O41" i="15"/>
  <c r="N40" i="15"/>
  <c r="M40" i="15"/>
  <c r="L40" i="15"/>
  <c r="K40" i="15"/>
  <c r="J40" i="15"/>
  <c r="I40" i="15"/>
  <c r="H40" i="15"/>
  <c r="G40" i="15"/>
  <c r="F40" i="15"/>
  <c r="E40" i="15"/>
  <c r="D40" i="15"/>
  <c r="C40" i="15"/>
  <c r="O39" i="15"/>
  <c r="O38" i="15"/>
  <c r="O37" i="15"/>
  <c r="O36" i="15"/>
  <c r="O35" i="15"/>
  <c r="O34" i="15"/>
  <c r="O33" i="15"/>
  <c r="O32" i="15"/>
  <c r="N31" i="15"/>
  <c r="N29" i="15" s="1"/>
  <c r="M31" i="15"/>
  <c r="M29" i="15" s="1"/>
  <c r="L31" i="15"/>
  <c r="K31" i="15"/>
  <c r="J31" i="15"/>
  <c r="J29" i="15" s="1"/>
  <c r="I31" i="15"/>
  <c r="I29" i="15" s="1"/>
  <c r="H31" i="15"/>
  <c r="G31" i="15"/>
  <c r="F31" i="15"/>
  <c r="F29" i="15" s="1"/>
  <c r="E31" i="15"/>
  <c r="E29" i="15" s="1"/>
  <c r="D31" i="15"/>
  <c r="C31" i="15"/>
  <c r="O30" i="15"/>
  <c r="L29" i="15"/>
  <c r="K29" i="15"/>
  <c r="H29" i="15"/>
  <c r="G29" i="15"/>
  <c r="D29" i="15"/>
  <c r="C29" i="15"/>
  <c r="O28" i="15"/>
  <c r="O27" i="15"/>
  <c r="O26" i="15"/>
  <c r="O25" i="15"/>
  <c r="O24" i="15"/>
  <c r="O23" i="15"/>
  <c r="O22" i="15"/>
  <c r="O21" i="15"/>
  <c r="N20" i="15"/>
  <c r="M20" i="15"/>
  <c r="M16" i="15" s="1"/>
  <c r="L20" i="15"/>
  <c r="K20" i="15"/>
  <c r="J20" i="15"/>
  <c r="I20" i="15"/>
  <c r="I16" i="15" s="1"/>
  <c r="H20" i="15"/>
  <c r="G20" i="15"/>
  <c r="F20" i="15"/>
  <c r="E20" i="15"/>
  <c r="E16" i="15" s="1"/>
  <c r="D20" i="15"/>
  <c r="C20" i="15"/>
  <c r="O19" i="15"/>
  <c r="O18" i="15"/>
  <c r="O17" i="15"/>
  <c r="N16" i="15"/>
  <c r="L16" i="15"/>
  <c r="L15" i="15" s="1"/>
  <c r="K16" i="15"/>
  <c r="J16" i="15"/>
  <c r="H16" i="15"/>
  <c r="H15" i="15" s="1"/>
  <c r="G16" i="15"/>
  <c r="F16" i="15"/>
  <c r="D16" i="15"/>
  <c r="D15" i="15" s="1"/>
  <c r="C16" i="15"/>
  <c r="O14" i="15"/>
  <c r="O13" i="15"/>
  <c r="O12" i="15"/>
  <c r="O11" i="15"/>
  <c r="O10" i="15"/>
  <c r="N9" i="15"/>
  <c r="N8" i="15" s="1"/>
  <c r="M9" i="15"/>
  <c r="M8" i="15" s="1"/>
  <c r="L9" i="15"/>
  <c r="L46" i="15" s="1"/>
  <c r="K9" i="15"/>
  <c r="K8" i="15" s="1"/>
  <c r="J9" i="15"/>
  <c r="J8" i="15" s="1"/>
  <c r="I9" i="15"/>
  <c r="H9" i="15"/>
  <c r="H46" i="15" s="1"/>
  <c r="G9" i="15"/>
  <c r="G8" i="15" s="1"/>
  <c r="F9" i="15"/>
  <c r="F8" i="15" s="1"/>
  <c r="E9" i="15"/>
  <c r="E8" i="15" s="1"/>
  <c r="D9" i="15"/>
  <c r="D46" i="15" s="1"/>
  <c r="C9" i="15"/>
  <c r="C8" i="15" s="1"/>
  <c r="L8" i="15"/>
  <c r="L48" i="15" s="1"/>
  <c r="I8" i="15"/>
  <c r="D8" i="15"/>
  <c r="D48" i="15" s="1"/>
  <c r="O74" i="14"/>
  <c r="O73" i="14"/>
  <c r="O70" i="14"/>
  <c r="O69" i="14"/>
  <c r="O68" i="14"/>
  <c r="O67" i="14"/>
  <c r="O66" i="14"/>
  <c r="N65" i="14"/>
  <c r="M65" i="14"/>
  <c r="L65" i="14"/>
  <c r="K65" i="14"/>
  <c r="J65" i="14"/>
  <c r="I65" i="14"/>
  <c r="H65" i="14"/>
  <c r="G65" i="14"/>
  <c r="F65" i="14"/>
  <c r="E65" i="14"/>
  <c r="D65" i="14"/>
  <c r="C65" i="14"/>
  <c r="O64" i="14"/>
  <c r="O63" i="14"/>
  <c r="O62" i="14"/>
  <c r="O61" i="14"/>
  <c r="O60" i="14"/>
  <c r="O59" i="14"/>
  <c r="N58" i="14"/>
  <c r="M58" i="14"/>
  <c r="L58" i="14"/>
  <c r="K58" i="14"/>
  <c r="J58" i="14"/>
  <c r="I58" i="14"/>
  <c r="H58" i="14"/>
  <c r="G58" i="14"/>
  <c r="F58" i="14"/>
  <c r="E58" i="14"/>
  <c r="D58" i="14"/>
  <c r="C58" i="14"/>
  <c r="O57" i="14"/>
  <c r="O56" i="14"/>
  <c r="N55" i="14"/>
  <c r="M55" i="14"/>
  <c r="L55" i="14"/>
  <c r="K55" i="14"/>
  <c r="J55" i="14"/>
  <c r="J54" i="14" s="1"/>
  <c r="I55" i="14"/>
  <c r="H55" i="14"/>
  <c r="G55" i="14"/>
  <c r="F55" i="14"/>
  <c r="F54" i="14" s="1"/>
  <c r="E55" i="14"/>
  <c r="D55" i="14"/>
  <c r="C55" i="14"/>
  <c r="N54" i="14"/>
  <c r="D54" i="14"/>
  <c r="O53" i="14"/>
  <c r="O52" i="14"/>
  <c r="N51" i="14"/>
  <c r="M51" i="14"/>
  <c r="L51" i="14"/>
  <c r="K51" i="14"/>
  <c r="J51" i="14"/>
  <c r="I51" i="14"/>
  <c r="H51" i="14"/>
  <c r="G51" i="14"/>
  <c r="F51" i="14"/>
  <c r="E51" i="14"/>
  <c r="D51" i="14"/>
  <c r="C51" i="14"/>
  <c r="O45" i="14"/>
  <c r="O44" i="14"/>
  <c r="O43" i="14"/>
  <c r="O42" i="14"/>
  <c r="O41" i="14"/>
  <c r="N40" i="14"/>
  <c r="M40" i="14"/>
  <c r="L40" i="14"/>
  <c r="K40" i="14"/>
  <c r="J40" i="14"/>
  <c r="I40" i="14"/>
  <c r="H40" i="14"/>
  <c r="G40" i="14"/>
  <c r="F40" i="14"/>
  <c r="E40" i="14"/>
  <c r="D40" i="14"/>
  <c r="C40" i="14"/>
  <c r="O39" i="14"/>
  <c r="O38" i="14"/>
  <c r="O37" i="14"/>
  <c r="O36" i="14"/>
  <c r="O35" i="14"/>
  <c r="O34" i="14"/>
  <c r="O33" i="14"/>
  <c r="O32" i="14"/>
  <c r="N31" i="14"/>
  <c r="M31" i="14"/>
  <c r="M29" i="14" s="1"/>
  <c r="L31" i="14"/>
  <c r="K31" i="14"/>
  <c r="J31" i="14"/>
  <c r="I31" i="14"/>
  <c r="I29" i="14" s="1"/>
  <c r="H31" i="14"/>
  <c r="G31" i="14"/>
  <c r="G29" i="14" s="1"/>
  <c r="F31" i="14"/>
  <c r="E31" i="14"/>
  <c r="E29" i="14" s="1"/>
  <c r="D31" i="14"/>
  <c r="C31" i="14"/>
  <c r="O30" i="14"/>
  <c r="N29" i="14"/>
  <c r="L29" i="14"/>
  <c r="K29" i="14"/>
  <c r="J29" i="14"/>
  <c r="H29" i="14"/>
  <c r="F29" i="14"/>
  <c r="D29" i="14"/>
  <c r="C29" i="14"/>
  <c r="O28" i="14"/>
  <c r="O27" i="14"/>
  <c r="O26" i="14"/>
  <c r="O25" i="14"/>
  <c r="O24" i="14"/>
  <c r="O23" i="14"/>
  <c r="O22" i="14"/>
  <c r="O21" i="14"/>
  <c r="N20" i="14"/>
  <c r="N16" i="14" s="1"/>
  <c r="M20" i="14"/>
  <c r="L20" i="14"/>
  <c r="K20" i="14"/>
  <c r="K16" i="14" s="1"/>
  <c r="K15" i="14" s="1"/>
  <c r="J20" i="14"/>
  <c r="J16" i="14" s="1"/>
  <c r="I20" i="14"/>
  <c r="H20" i="14"/>
  <c r="G20" i="14"/>
  <c r="G16" i="14" s="1"/>
  <c r="F20" i="14"/>
  <c r="F16" i="14" s="1"/>
  <c r="E20" i="14"/>
  <c r="D20" i="14"/>
  <c r="C20" i="14"/>
  <c r="C16" i="14" s="1"/>
  <c r="C15" i="14" s="1"/>
  <c r="O19" i="14"/>
  <c r="O18" i="14"/>
  <c r="O17" i="14"/>
  <c r="M16" i="14"/>
  <c r="L16" i="14"/>
  <c r="I16" i="14"/>
  <c r="H16" i="14"/>
  <c r="E16" i="14"/>
  <c r="E15" i="14" s="1"/>
  <c r="D16" i="14"/>
  <c r="L15" i="14"/>
  <c r="H15" i="14"/>
  <c r="D15" i="14"/>
  <c r="O14" i="14"/>
  <c r="O13" i="14"/>
  <c r="O12" i="14"/>
  <c r="O11" i="14"/>
  <c r="O10" i="14"/>
  <c r="N9" i="14"/>
  <c r="M9" i="14"/>
  <c r="L9" i="14"/>
  <c r="L46" i="14" s="1"/>
  <c r="K9" i="14"/>
  <c r="K8" i="14" s="1"/>
  <c r="J9" i="14"/>
  <c r="I9" i="14"/>
  <c r="H9" i="14"/>
  <c r="H46" i="14" s="1"/>
  <c r="G9" i="14"/>
  <c r="G8" i="14" s="1"/>
  <c r="F9" i="14"/>
  <c r="E9" i="14"/>
  <c r="D9" i="14"/>
  <c r="D46" i="14" s="1"/>
  <c r="C9" i="14"/>
  <c r="N8" i="14"/>
  <c r="J8" i="14"/>
  <c r="F8" i="14"/>
  <c r="S67" i="13"/>
  <c r="R67" i="13"/>
  <c r="Q67" i="13"/>
  <c r="P67" i="13"/>
  <c r="O67" i="13"/>
  <c r="N67" i="13"/>
  <c r="M67" i="13"/>
  <c r="L67" i="13"/>
  <c r="K67" i="13"/>
  <c r="J67" i="13"/>
  <c r="I67" i="13"/>
  <c r="H67" i="13"/>
  <c r="G67" i="13"/>
  <c r="F67" i="13"/>
  <c r="E67" i="13"/>
  <c r="D67" i="13"/>
  <c r="C67" i="13"/>
  <c r="S63" i="13"/>
  <c r="R63" i="13"/>
  <c r="Q63" i="13"/>
  <c r="P63" i="13"/>
  <c r="O63" i="13"/>
  <c r="N63" i="13"/>
  <c r="M63" i="13"/>
  <c r="L63" i="13"/>
  <c r="K63" i="13"/>
  <c r="J63" i="13"/>
  <c r="I63" i="13"/>
  <c r="H63" i="13"/>
  <c r="G63" i="13"/>
  <c r="F63" i="13"/>
  <c r="E63" i="13"/>
  <c r="D63" i="13"/>
  <c r="C63" i="13"/>
  <c r="S60" i="13"/>
  <c r="R60" i="13"/>
  <c r="Q60" i="13"/>
  <c r="P60" i="13"/>
  <c r="O60" i="13"/>
  <c r="O56" i="13" s="1"/>
  <c r="N60" i="13"/>
  <c r="M60" i="13"/>
  <c r="L60" i="13"/>
  <c r="K60" i="13"/>
  <c r="K56" i="13" s="1"/>
  <c r="J60" i="13"/>
  <c r="I60" i="13"/>
  <c r="H60" i="13"/>
  <c r="G60" i="13"/>
  <c r="G56" i="13" s="1"/>
  <c r="F60" i="13"/>
  <c r="E60" i="13"/>
  <c r="D60" i="13"/>
  <c r="C60" i="13"/>
  <c r="C56" i="13" s="1"/>
  <c r="S57" i="13"/>
  <c r="R57" i="13"/>
  <c r="Q57" i="13"/>
  <c r="P57" i="13"/>
  <c r="P56" i="13" s="1"/>
  <c r="O57" i="13"/>
  <c r="N57" i="13"/>
  <c r="M57" i="13"/>
  <c r="L57" i="13"/>
  <c r="L56" i="13" s="1"/>
  <c r="K57" i="13"/>
  <c r="J57" i="13"/>
  <c r="I57" i="13"/>
  <c r="H57" i="13"/>
  <c r="H56" i="13" s="1"/>
  <c r="G57" i="13"/>
  <c r="F57" i="13"/>
  <c r="E57" i="13"/>
  <c r="D57" i="13"/>
  <c r="D56" i="13" s="1"/>
  <c r="C57" i="13"/>
  <c r="Q56" i="13"/>
  <c r="M56" i="13"/>
  <c r="I56" i="13"/>
  <c r="E56" i="13"/>
  <c r="S53" i="13"/>
  <c r="R53" i="13"/>
  <c r="Q53" i="13"/>
  <c r="P53" i="13"/>
  <c r="O53" i="13"/>
  <c r="N53" i="13"/>
  <c r="M53" i="13"/>
  <c r="L53" i="13"/>
  <c r="K53" i="13"/>
  <c r="J53" i="13"/>
  <c r="I53" i="13"/>
  <c r="H53" i="13"/>
  <c r="G53" i="13"/>
  <c r="F53" i="13"/>
  <c r="E53" i="13"/>
  <c r="D53" i="13"/>
  <c r="C53" i="13"/>
  <c r="R41" i="13"/>
  <c r="Q41" i="13"/>
  <c r="P41" i="13"/>
  <c r="O41" i="13"/>
  <c r="N41" i="13"/>
  <c r="M41" i="13"/>
  <c r="L41" i="13"/>
  <c r="K41" i="13"/>
  <c r="J41" i="13"/>
  <c r="I41" i="13"/>
  <c r="H41" i="13"/>
  <c r="G41" i="13"/>
  <c r="F41" i="13"/>
  <c r="E41" i="13"/>
  <c r="D41" i="13"/>
  <c r="C41" i="13"/>
  <c r="S32" i="13"/>
  <c r="S30" i="13" s="1"/>
  <c r="R32" i="13"/>
  <c r="Q32" i="13"/>
  <c r="Q30" i="13" s="1"/>
  <c r="P32" i="13"/>
  <c r="O32" i="13"/>
  <c r="N32" i="13"/>
  <c r="N30" i="13" s="1"/>
  <c r="M32" i="13"/>
  <c r="M30" i="13" s="1"/>
  <c r="L32" i="13"/>
  <c r="K32" i="13"/>
  <c r="J32" i="13"/>
  <c r="J30" i="13" s="1"/>
  <c r="I32" i="13"/>
  <c r="I30" i="13" s="1"/>
  <c r="H32" i="13"/>
  <c r="G32" i="13"/>
  <c r="F32" i="13"/>
  <c r="F30" i="13" s="1"/>
  <c r="E32" i="13"/>
  <c r="E30" i="13" s="1"/>
  <c r="D32" i="13"/>
  <c r="C32" i="13"/>
  <c r="R30" i="13"/>
  <c r="P30" i="13"/>
  <c r="O30" i="13"/>
  <c r="L30" i="13"/>
  <c r="K30" i="13"/>
  <c r="H30" i="13"/>
  <c r="G30" i="13"/>
  <c r="D30" i="13"/>
  <c r="C30" i="13"/>
  <c r="S16" i="13"/>
  <c r="Q20" i="13"/>
  <c r="P20" i="13"/>
  <c r="P16" i="13" s="1"/>
  <c r="O20" i="13"/>
  <c r="O16" i="13" s="1"/>
  <c r="N20" i="13"/>
  <c r="N16" i="13" s="1"/>
  <c r="M20" i="13"/>
  <c r="L20" i="13"/>
  <c r="K20" i="13"/>
  <c r="K16" i="13" s="1"/>
  <c r="J20" i="13"/>
  <c r="J16" i="13" s="1"/>
  <c r="I20" i="13"/>
  <c r="H20" i="13"/>
  <c r="G20" i="13"/>
  <c r="G16" i="13" s="1"/>
  <c r="F20" i="13"/>
  <c r="E20" i="13"/>
  <c r="D20" i="13"/>
  <c r="C20" i="13"/>
  <c r="C16" i="13" s="1"/>
  <c r="R16" i="13"/>
  <c r="Q16" i="13"/>
  <c r="M16" i="13"/>
  <c r="L16" i="13"/>
  <c r="I16" i="13"/>
  <c r="H16" i="13"/>
  <c r="F16" i="13"/>
  <c r="E16" i="13"/>
  <c r="D16" i="13"/>
  <c r="S9" i="13"/>
  <c r="S8" i="13" s="1"/>
  <c r="R9" i="13"/>
  <c r="Q9" i="13"/>
  <c r="Q47" i="13" s="1"/>
  <c r="P9" i="13"/>
  <c r="O9" i="13"/>
  <c r="N9" i="13"/>
  <c r="M9" i="13"/>
  <c r="M47" i="13" s="1"/>
  <c r="L9" i="13"/>
  <c r="L47" i="13" s="1"/>
  <c r="K9" i="13"/>
  <c r="J9" i="13"/>
  <c r="I9" i="13"/>
  <c r="I47" i="13" s="1"/>
  <c r="H9" i="13"/>
  <c r="H47" i="13" s="1"/>
  <c r="G9" i="13"/>
  <c r="F9" i="13"/>
  <c r="F47" i="13" s="1"/>
  <c r="E9" i="13"/>
  <c r="E47" i="13" s="1"/>
  <c r="D9" i="13"/>
  <c r="D47" i="13" s="1"/>
  <c r="C9" i="13"/>
  <c r="Q8" i="13"/>
  <c r="P8" i="13"/>
  <c r="O8" i="13"/>
  <c r="M8" i="13"/>
  <c r="L8" i="13"/>
  <c r="K8" i="13"/>
  <c r="I8" i="13"/>
  <c r="H8" i="13"/>
  <c r="G8" i="13"/>
  <c r="E8" i="13"/>
  <c r="D8" i="13"/>
  <c r="C8" i="13"/>
  <c r="D8" i="14" l="1"/>
  <c r="O9" i="14"/>
  <c r="M54" i="14"/>
  <c r="O31" i="15"/>
  <c r="D15" i="16"/>
  <c r="D48" i="16" s="1"/>
  <c r="H15" i="16"/>
  <c r="H48" i="16" s="1"/>
  <c r="L15" i="16"/>
  <c r="L48" i="16" s="1"/>
  <c r="E15" i="17"/>
  <c r="E48" i="17" s="1"/>
  <c r="I15" i="17"/>
  <c r="I48" i="17" s="1"/>
  <c r="M15" i="17"/>
  <c r="M48" i="17" s="1"/>
  <c r="O16" i="18"/>
  <c r="F15" i="18"/>
  <c r="J15" i="18"/>
  <c r="N15" i="18"/>
  <c r="E46" i="57"/>
  <c r="I46" i="57"/>
  <c r="M46" i="57"/>
  <c r="G15" i="57"/>
  <c r="F15" i="57"/>
  <c r="F48" i="57" s="1"/>
  <c r="J15" i="57"/>
  <c r="J48" i="57" s="1"/>
  <c r="N15" i="57"/>
  <c r="N48" i="57" s="1"/>
  <c r="G15" i="20"/>
  <c r="F15" i="20"/>
  <c r="F48" i="20" s="1"/>
  <c r="J15" i="20"/>
  <c r="J48" i="20" s="1"/>
  <c r="N15" i="20"/>
  <c r="N48" i="20" s="1"/>
  <c r="E54" i="20"/>
  <c r="I54" i="20"/>
  <c r="M54" i="20"/>
  <c r="L57" i="6"/>
  <c r="C84" i="6"/>
  <c r="I25" i="7"/>
  <c r="I72" i="7" s="1"/>
  <c r="J47" i="13"/>
  <c r="F56" i="13"/>
  <c r="J56" i="13"/>
  <c r="N56" i="13"/>
  <c r="R56" i="13"/>
  <c r="G15" i="14"/>
  <c r="M15" i="14"/>
  <c r="H54" i="14"/>
  <c r="H8" i="15"/>
  <c r="O20" i="15"/>
  <c r="F46" i="15"/>
  <c r="O20" i="16"/>
  <c r="O29" i="16"/>
  <c r="O16" i="17"/>
  <c r="F15" i="17"/>
  <c r="J15" i="17"/>
  <c r="N15" i="17"/>
  <c r="K15" i="18"/>
  <c r="O31" i="18"/>
  <c r="D8" i="57"/>
  <c r="I8" i="57"/>
  <c r="O31" i="57"/>
  <c r="D8" i="20"/>
  <c r="I8" i="20"/>
  <c r="O31" i="20"/>
  <c r="D26" i="6"/>
  <c r="D75" i="6" s="1"/>
  <c r="M25" i="7"/>
  <c r="M72" i="7" s="1"/>
  <c r="O16" i="15"/>
  <c r="E15" i="15"/>
  <c r="E48" i="15" s="1"/>
  <c r="I15" i="15"/>
  <c r="I48" i="15" s="1"/>
  <c r="M15" i="15"/>
  <c r="M48" i="15" s="1"/>
  <c r="J46" i="15"/>
  <c r="G54" i="15"/>
  <c r="J15" i="16"/>
  <c r="F54" i="16"/>
  <c r="J54" i="16"/>
  <c r="K15" i="17"/>
  <c r="O31" i="17"/>
  <c r="D8" i="18"/>
  <c r="I8" i="18"/>
  <c r="E8" i="57"/>
  <c r="O20" i="57"/>
  <c r="O20" i="20"/>
  <c r="C15" i="20"/>
  <c r="K15" i="20"/>
  <c r="K48" i="20" s="1"/>
  <c r="O55" i="20"/>
  <c r="H26" i="6"/>
  <c r="H75" i="6" s="1"/>
  <c r="C70" i="6"/>
  <c r="E46" i="15"/>
  <c r="I46" i="15"/>
  <c r="M46" i="15"/>
  <c r="F15" i="15"/>
  <c r="J15" i="15"/>
  <c r="N15" i="15"/>
  <c r="N46" i="15"/>
  <c r="O31" i="16"/>
  <c r="E15" i="18"/>
  <c r="E48" i="18" s="1"/>
  <c r="I15" i="18"/>
  <c r="I48" i="18" s="1"/>
  <c r="M15" i="18"/>
  <c r="M48" i="18" s="1"/>
  <c r="O16" i="57"/>
  <c r="E15" i="57"/>
  <c r="E48" i="57" s="1"/>
  <c r="I15" i="57"/>
  <c r="I48" i="57" s="1"/>
  <c r="M15" i="57"/>
  <c r="M48" i="57" s="1"/>
  <c r="O16" i="20"/>
  <c r="E15" i="20"/>
  <c r="E48" i="20" s="1"/>
  <c r="I15" i="20"/>
  <c r="I48" i="20" s="1"/>
  <c r="M15" i="20"/>
  <c r="M48" i="20" s="1"/>
  <c r="C54" i="20"/>
  <c r="D54" i="20"/>
  <c r="H54" i="20"/>
  <c r="L54" i="20"/>
  <c r="E25" i="7"/>
  <c r="E72" i="7" s="1"/>
  <c r="D13" i="48"/>
  <c r="D38" i="48"/>
  <c r="K15" i="57"/>
  <c r="K48" i="57" s="1"/>
  <c r="C54" i="57"/>
  <c r="G54" i="57"/>
  <c r="K54" i="57"/>
  <c r="L15" i="13"/>
  <c r="L50" i="13" s="1"/>
  <c r="N48" i="18"/>
  <c r="N49" i="18" s="1"/>
  <c r="G54" i="18"/>
  <c r="L48" i="18"/>
  <c r="E54" i="18"/>
  <c r="I54" i="18"/>
  <c r="I71" i="18" s="1"/>
  <c r="M54" i="18"/>
  <c r="M71" i="18" s="1"/>
  <c r="K48" i="17"/>
  <c r="C54" i="17"/>
  <c r="G54" i="17"/>
  <c r="K54" i="17"/>
  <c r="K71" i="17" s="1"/>
  <c r="G15" i="17"/>
  <c r="F15" i="16"/>
  <c r="J48" i="16"/>
  <c r="J49" i="16" s="1"/>
  <c r="N15" i="16"/>
  <c r="N48" i="16" s="1"/>
  <c r="N54" i="16"/>
  <c r="O40" i="15"/>
  <c r="O55" i="15"/>
  <c r="O61" i="15"/>
  <c r="G15" i="15"/>
  <c r="K15" i="15"/>
  <c r="K48" i="15" s="1"/>
  <c r="C54" i="15"/>
  <c r="D54" i="15"/>
  <c r="H54" i="15"/>
  <c r="L54" i="15"/>
  <c r="L71" i="15" s="1"/>
  <c r="O51" i="15"/>
  <c r="O58" i="15"/>
  <c r="E54" i="15"/>
  <c r="I54" i="15"/>
  <c r="I71" i="15" s="1"/>
  <c r="M54" i="15"/>
  <c r="G48" i="14"/>
  <c r="K48" i="14"/>
  <c r="D48" i="14"/>
  <c r="F15" i="14"/>
  <c r="F48" i="14" s="1"/>
  <c r="J15" i="14"/>
  <c r="N15" i="14"/>
  <c r="E54" i="14"/>
  <c r="I54" i="14"/>
  <c r="O58" i="14"/>
  <c r="L54" i="14"/>
  <c r="R47" i="13"/>
  <c r="H15" i="13"/>
  <c r="H50" i="13" s="1"/>
  <c r="P15" i="13"/>
  <c r="D15" i="13"/>
  <c r="N15" i="13"/>
  <c r="N47" i="13"/>
  <c r="P47" i="13"/>
  <c r="R15" i="13"/>
  <c r="P8" i="56"/>
  <c r="P52" i="56" s="1"/>
  <c r="D8" i="56"/>
  <c r="L8" i="56"/>
  <c r="N7" i="56"/>
  <c r="N51" i="56" s="1"/>
  <c r="E7" i="56"/>
  <c r="E51" i="56" s="1"/>
  <c r="J8" i="56"/>
  <c r="H7" i="56"/>
  <c r="P7" i="56"/>
  <c r="F8" i="56"/>
  <c r="Q8" i="56"/>
  <c r="Q7" i="56" s="1"/>
  <c r="M7" i="56"/>
  <c r="M51" i="56" s="1"/>
  <c r="R8" i="56"/>
  <c r="H54" i="57"/>
  <c r="H71" i="57" s="1"/>
  <c r="O58" i="57"/>
  <c r="E54" i="57"/>
  <c r="E71" i="57" s="1"/>
  <c r="I54" i="57"/>
  <c r="M54" i="57"/>
  <c r="D54" i="57"/>
  <c r="O40" i="57"/>
  <c r="O51" i="57"/>
  <c r="F54" i="57"/>
  <c r="F71" i="57" s="1"/>
  <c r="J54" i="57"/>
  <c r="J71" i="57" s="1"/>
  <c r="N54" i="57"/>
  <c r="N71" i="57" s="1"/>
  <c r="O65" i="57"/>
  <c r="L54" i="57"/>
  <c r="O55" i="57"/>
  <c r="O61" i="57"/>
  <c r="O55" i="18"/>
  <c r="K54" i="18"/>
  <c r="O61" i="18"/>
  <c r="F48" i="18"/>
  <c r="F50" i="18" s="1"/>
  <c r="O40" i="18"/>
  <c r="O51" i="18"/>
  <c r="D54" i="18"/>
  <c r="G15" i="18"/>
  <c r="G48" i="18" s="1"/>
  <c r="L54" i="18"/>
  <c r="D48" i="18"/>
  <c r="C15" i="18"/>
  <c r="C48" i="18" s="1"/>
  <c r="C54" i="18"/>
  <c r="O58" i="18"/>
  <c r="H48" i="18"/>
  <c r="H54" i="18"/>
  <c r="J48" i="18"/>
  <c r="J50" i="18" s="1"/>
  <c r="K48" i="18"/>
  <c r="F54" i="18"/>
  <c r="J54" i="18"/>
  <c r="N54" i="18"/>
  <c r="O65" i="18"/>
  <c r="I54" i="17"/>
  <c r="E54" i="17"/>
  <c r="E71" i="17" s="1"/>
  <c r="M54" i="17"/>
  <c r="M71" i="17" s="1"/>
  <c r="E13" i="44"/>
  <c r="C11" i="44"/>
  <c r="J15" i="13"/>
  <c r="F15" i="13"/>
  <c r="E15" i="13"/>
  <c r="E50" i="13" s="1"/>
  <c r="E51" i="13" s="1"/>
  <c r="I15" i="13"/>
  <c r="I50" i="13" s="1"/>
  <c r="I73" i="13" s="1"/>
  <c r="M15" i="13"/>
  <c r="M50" i="13" s="1"/>
  <c r="Q15" i="13"/>
  <c r="Q50" i="13" s="1"/>
  <c r="Q51" i="13" s="1"/>
  <c r="F13" i="44"/>
  <c r="D11" i="44"/>
  <c r="F11" i="44" s="1"/>
  <c r="C56" i="44"/>
  <c r="E56" i="44" s="1"/>
  <c r="D56" i="44"/>
  <c r="F56" i="44" s="1"/>
  <c r="S56" i="13"/>
  <c r="E47" i="19"/>
  <c r="N47" i="19"/>
  <c r="D55" i="19"/>
  <c r="H55" i="19"/>
  <c r="L55" i="19"/>
  <c r="G34" i="48"/>
  <c r="H34" i="48" s="1"/>
  <c r="U7" i="47"/>
  <c r="U27" i="47" s="1"/>
  <c r="V27" i="47" s="1"/>
  <c r="R9" i="47"/>
  <c r="I7" i="47"/>
  <c r="J7" i="47" s="1"/>
  <c r="G7" i="47"/>
  <c r="E7" i="47"/>
  <c r="F7" i="47" s="1"/>
  <c r="M7" i="47"/>
  <c r="N7" i="47" s="1"/>
  <c r="F14" i="47"/>
  <c r="V14" i="47"/>
  <c r="O7" i="47"/>
  <c r="P7" i="47" s="1"/>
  <c r="AA7" i="47"/>
  <c r="AA27" i="47" s="1"/>
  <c r="AB27" i="47" s="1"/>
  <c r="I55" i="19"/>
  <c r="C55" i="19"/>
  <c r="K55" i="19"/>
  <c r="O32" i="19"/>
  <c r="N15" i="19"/>
  <c r="N49" i="19" s="1"/>
  <c r="J15" i="19"/>
  <c r="J49" i="19" s="1"/>
  <c r="F15" i="19"/>
  <c r="I47" i="19"/>
  <c r="M47" i="19"/>
  <c r="F47" i="19"/>
  <c r="O16" i="19"/>
  <c r="O20" i="19"/>
  <c r="K15" i="19"/>
  <c r="K49" i="19" s="1"/>
  <c r="G15" i="19"/>
  <c r="G49" i="19" s="1"/>
  <c r="C15" i="19"/>
  <c r="C49" i="19" s="1"/>
  <c r="E15" i="19"/>
  <c r="I15" i="19"/>
  <c r="M15" i="19"/>
  <c r="J47" i="19"/>
  <c r="F8" i="19"/>
  <c r="C22" i="48"/>
  <c r="D22" i="48" s="1"/>
  <c r="E55" i="19"/>
  <c r="M55" i="19"/>
  <c r="G55" i="19"/>
  <c r="O59" i="19"/>
  <c r="F55" i="19"/>
  <c r="J55" i="19"/>
  <c r="N55" i="19"/>
  <c r="O66" i="19"/>
  <c r="D15" i="19"/>
  <c r="D49" i="19" s="1"/>
  <c r="H15" i="19"/>
  <c r="H49" i="19" s="1"/>
  <c r="L15" i="19"/>
  <c r="L49" i="19" s="1"/>
  <c r="O41" i="19"/>
  <c r="O52" i="19"/>
  <c r="O56" i="19"/>
  <c r="O62" i="19"/>
  <c r="G38" i="48"/>
  <c r="H38" i="48" s="1"/>
  <c r="C19" i="48"/>
  <c r="G39" i="48"/>
  <c r="H39" i="48" s="1"/>
  <c r="G44" i="48"/>
  <c r="H44" i="48" s="1"/>
  <c r="F8" i="48"/>
  <c r="F14" i="48"/>
  <c r="D23" i="48"/>
  <c r="F27" i="48"/>
  <c r="F33" i="48"/>
  <c r="D34" i="48"/>
  <c r="F38" i="48"/>
  <c r="D39" i="48"/>
  <c r="F41" i="48"/>
  <c r="G8" i="48"/>
  <c r="H8" i="48" s="1"/>
  <c r="E13" i="48"/>
  <c r="E23" i="48"/>
  <c r="E28" i="48"/>
  <c r="H7" i="47"/>
  <c r="G27" i="47"/>
  <c r="H27" i="47" s="1"/>
  <c r="X7" i="47"/>
  <c r="W27" i="47"/>
  <c r="X27" i="47" s="1"/>
  <c r="T7" i="47"/>
  <c r="S27" i="47"/>
  <c r="T27" i="47" s="1"/>
  <c r="L7" i="47"/>
  <c r="K27" i="47"/>
  <c r="L27" i="47" s="1"/>
  <c r="I27" i="47"/>
  <c r="J27" i="47" s="1"/>
  <c r="Q27" i="47"/>
  <c r="R27" i="47" s="1"/>
  <c r="Y27" i="47"/>
  <c r="Z27" i="47" s="1"/>
  <c r="D9" i="47"/>
  <c r="H9" i="47"/>
  <c r="L9" i="47"/>
  <c r="P9" i="47"/>
  <c r="T9" i="47"/>
  <c r="X9" i="47"/>
  <c r="AB9" i="47"/>
  <c r="F7" i="7"/>
  <c r="J55" i="7"/>
  <c r="J7" i="7"/>
  <c r="N7" i="7"/>
  <c r="N55" i="7"/>
  <c r="G62" i="7"/>
  <c r="G14" i="7"/>
  <c r="G61" i="7" s="1"/>
  <c r="G54" i="7"/>
  <c r="K14" i="7"/>
  <c r="K61" i="7" s="1"/>
  <c r="K62" i="7"/>
  <c r="C72" i="7"/>
  <c r="K25" i="7"/>
  <c r="K72" i="7" s="1"/>
  <c r="C14" i="7"/>
  <c r="C28" i="7" s="1"/>
  <c r="C62" i="7"/>
  <c r="E68" i="7"/>
  <c r="E14" i="7"/>
  <c r="E61" i="7" s="1"/>
  <c r="I14" i="7"/>
  <c r="I61" i="7" s="1"/>
  <c r="I68" i="7"/>
  <c r="M14" i="7"/>
  <c r="M61" i="7" s="1"/>
  <c r="M68" i="7"/>
  <c r="K54" i="7"/>
  <c r="F15" i="7"/>
  <c r="F25" i="7" s="1"/>
  <c r="F72" i="7" s="1"/>
  <c r="F63" i="7"/>
  <c r="J63" i="7"/>
  <c r="J15" i="7"/>
  <c r="J25" i="7" s="1"/>
  <c r="J72" i="7" s="1"/>
  <c r="N15" i="7"/>
  <c r="N63" i="7"/>
  <c r="F55" i="7"/>
  <c r="D25" i="7"/>
  <c r="D72" i="7" s="1"/>
  <c r="H25" i="7"/>
  <c r="H72" i="7" s="1"/>
  <c r="L25" i="7"/>
  <c r="L72" i="7" s="1"/>
  <c r="O31" i="7"/>
  <c r="O78" i="7" s="1"/>
  <c r="O8" i="7"/>
  <c r="O55" i="7" s="1"/>
  <c r="O16" i="7"/>
  <c r="O63" i="7" s="1"/>
  <c r="D28" i="7"/>
  <c r="H28" i="7"/>
  <c r="L28" i="7"/>
  <c r="C55" i="7"/>
  <c r="G55" i="7"/>
  <c r="K55" i="7"/>
  <c r="O21" i="7"/>
  <c r="O68" i="7" s="1"/>
  <c r="I28" i="7"/>
  <c r="M28" i="7"/>
  <c r="O34" i="7"/>
  <c r="O81" i="7" s="1"/>
  <c r="G56" i="6"/>
  <c r="F15" i="6"/>
  <c r="F65" i="6"/>
  <c r="C56" i="6"/>
  <c r="K14" i="6"/>
  <c r="K63" i="6" s="1"/>
  <c r="K64" i="6"/>
  <c r="O32" i="6"/>
  <c r="O81" i="6" s="1"/>
  <c r="J15" i="6"/>
  <c r="J65" i="6"/>
  <c r="F7" i="6"/>
  <c r="F57" i="6"/>
  <c r="J7" i="6"/>
  <c r="J57" i="6"/>
  <c r="J26" i="6"/>
  <c r="J75" i="6" s="1"/>
  <c r="N7" i="6"/>
  <c r="N57" i="6"/>
  <c r="N26" i="6"/>
  <c r="N75" i="6" s="1"/>
  <c r="G14" i="6"/>
  <c r="G63" i="6" s="1"/>
  <c r="G64" i="6"/>
  <c r="N15" i="6"/>
  <c r="N65" i="6"/>
  <c r="K56" i="6"/>
  <c r="C14" i="6"/>
  <c r="C64" i="6"/>
  <c r="E70" i="6"/>
  <c r="E14" i="6"/>
  <c r="E63" i="6" s="1"/>
  <c r="I70" i="6"/>
  <c r="I14" i="6"/>
  <c r="I63" i="6" s="1"/>
  <c r="M70" i="6"/>
  <c r="M14" i="6"/>
  <c r="M63" i="6" s="1"/>
  <c r="O8" i="6"/>
  <c r="O57" i="6" s="1"/>
  <c r="O16" i="6"/>
  <c r="O65" i="6" s="1"/>
  <c r="E26" i="6"/>
  <c r="E75" i="6" s="1"/>
  <c r="I26" i="6"/>
  <c r="I75" i="6" s="1"/>
  <c r="M26" i="6"/>
  <c r="M75" i="6" s="1"/>
  <c r="D29" i="6"/>
  <c r="H29" i="6"/>
  <c r="L29" i="6"/>
  <c r="C26" i="6"/>
  <c r="G26" i="6"/>
  <c r="G75" i="6" s="1"/>
  <c r="K26" i="6"/>
  <c r="K75" i="6" s="1"/>
  <c r="J77" i="3"/>
  <c r="J27" i="3"/>
  <c r="J95" i="3" s="1"/>
  <c r="N77" i="3"/>
  <c r="N27" i="3"/>
  <c r="N95" i="3" s="1"/>
  <c r="R77" i="3"/>
  <c r="R27" i="3"/>
  <c r="R95" i="3" s="1"/>
  <c r="F27" i="3"/>
  <c r="F95" i="3" s="1"/>
  <c r="M27" i="3"/>
  <c r="M95" i="3" s="1"/>
  <c r="D76" i="3"/>
  <c r="H76" i="3"/>
  <c r="L76" i="3"/>
  <c r="P76" i="3"/>
  <c r="C77" i="3"/>
  <c r="G77" i="3"/>
  <c r="K77" i="3"/>
  <c r="O77" i="3"/>
  <c r="S77" i="3"/>
  <c r="H27" i="3"/>
  <c r="H95" i="3" s="1"/>
  <c r="P27" i="3"/>
  <c r="P95" i="3" s="1"/>
  <c r="E76" i="3"/>
  <c r="E32" i="3"/>
  <c r="E29" i="3" s="1"/>
  <c r="I76" i="3"/>
  <c r="I32" i="3"/>
  <c r="I29" i="3" s="1"/>
  <c r="M76" i="3"/>
  <c r="M32" i="3"/>
  <c r="M29" i="3" s="1"/>
  <c r="Q76" i="3"/>
  <c r="Q32" i="3"/>
  <c r="Q29" i="3" s="1"/>
  <c r="D27" i="3"/>
  <c r="D95" i="3" s="1"/>
  <c r="I27" i="3"/>
  <c r="I95" i="3" s="1"/>
  <c r="Q27" i="3"/>
  <c r="Q95" i="3" s="1"/>
  <c r="F8" i="3"/>
  <c r="J8" i="3"/>
  <c r="N8" i="3"/>
  <c r="R8" i="3"/>
  <c r="D16" i="3"/>
  <c r="D84" i="3" s="1"/>
  <c r="H16" i="3"/>
  <c r="H84" i="3" s="1"/>
  <c r="L16" i="3"/>
  <c r="L84" i="3" s="1"/>
  <c r="P16" i="3"/>
  <c r="P84" i="3" s="1"/>
  <c r="C17" i="3"/>
  <c r="G17" i="3"/>
  <c r="K17" i="3"/>
  <c r="K27" i="3" s="1"/>
  <c r="K95" i="3" s="1"/>
  <c r="O17" i="3"/>
  <c r="O27" i="3" s="1"/>
  <c r="O95" i="3" s="1"/>
  <c r="S17" i="3"/>
  <c r="E27" i="3"/>
  <c r="E95" i="3" s="1"/>
  <c r="L27" i="3"/>
  <c r="L95" i="3" s="1"/>
  <c r="I15" i="14"/>
  <c r="O15" i="14" s="1"/>
  <c r="O29" i="14"/>
  <c r="L8" i="14"/>
  <c r="L48" i="14" s="1"/>
  <c r="L49" i="14" s="1"/>
  <c r="E46" i="14"/>
  <c r="I46" i="14"/>
  <c r="M46" i="14"/>
  <c r="O31" i="14"/>
  <c r="O40" i="14"/>
  <c r="C54" i="14"/>
  <c r="G54" i="14"/>
  <c r="K54" i="14"/>
  <c r="K71" i="14" s="1"/>
  <c r="O65" i="14"/>
  <c r="J48" i="14"/>
  <c r="J71" i="14" s="1"/>
  <c r="O20" i="14"/>
  <c r="C8" i="14"/>
  <c r="C48" i="14" s="1"/>
  <c r="C50" i="14" s="1"/>
  <c r="H8" i="14"/>
  <c r="H48" i="14" s="1"/>
  <c r="H71" i="14" s="1"/>
  <c r="N48" i="14"/>
  <c r="N71" i="14" s="1"/>
  <c r="F46" i="14"/>
  <c r="J46" i="14"/>
  <c r="N46" i="14"/>
  <c r="O51" i="14"/>
  <c r="F48" i="17"/>
  <c r="F49" i="17" s="1"/>
  <c r="N48" i="17"/>
  <c r="L54" i="17"/>
  <c r="O58" i="17"/>
  <c r="D54" i="17"/>
  <c r="J48" i="17"/>
  <c r="F54" i="17"/>
  <c r="J54" i="17"/>
  <c r="N54" i="17"/>
  <c r="N71" i="17" s="1"/>
  <c r="O65" i="17"/>
  <c r="H54" i="17"/>
  <c r="L48" i="17"/>
  <c r="L49" i="17" s="1"/>
  <c r="D15" i="17"/>
  <c r="D48" i="17" s="1"/>
  <c r="H15" i="17"/>
  <c r="H48" i="17" s="1"/>
  <c r="L15" i="17"/>
  <c r="O40" i="17"/>
  <c r="O51" i="17"/>
  <c r="O55" i="17"/>
  <c r="O61" i="17"/>
  <c r="O40" i="16"/>
  <c r="O51" i="16"/>
  <c r="O55" i="16"/>
  <c r="O61" i="16"/>
  <c r="G54" i="16"/>
  <c r="F48" i="16"/>
  <c r="F71" i="16" s="1"/>
  <c r="E54" i="16"/>
  <c r="I54" i="16"/>
  <c r="M54" i="16"/>
  <c r="O58" i="16"/>
  <c r="K54" i="16"/>
  <c r="I48" i="16"/>
  <c r="C15" i="16"/>
  <c r="C48" i="16" s="1"/>
  <c r="G15" i="16"/>
  <c r="G48" i="16" s="1"/>
  <c r="K15" i="16"/>
  <c r="O65" i="16"/>
  <c r="I51" i="56"/>
  <c r="I34" i="56"/>
  <c r="I78" i="56" s="1"/>
  <c r="E34" i="56"/>
  <c r="E78" i="56" s="1"/>
  <c r="C52" i="56"/>
  <c r="C7" i="56"/>
  <c r="O52" i="56"/>
  <c r="O7" i="56"/>
  <c r="U52" i="56"/>
  <c r="U7" i="56"/>
  <c r="M34" i="56"/>
  <c r="M78" i="56" s="1"/>
  <c r="Q51" i="56"/>
  <c r="Q34" i="56"/>
  <c r="Q78" i="56" s="1"/>
  <c r="E52" i="56"/>
  <c r="O58" i="56"/>
  <c r="M52" i="56"/>
  <c r="C58" i="56"/>
  <c r="U58" i="56"/>
  <c r="G8" i="56"/>
  <c r="K8" i="56"/>
  <c r="N34" i="56"/>
  <c r="N78" i="56" s="1"/>
  <c r="I52" i="56"/>
  <c r="Q52" i="56"/>
  <c r="O9" i="19"/>
  <c r="O30" i="19"/>
  <c r="E8" i="19"/>
  <c r="I8" i="19"/>
  <c r="M8" i="19"/>
  <c r="C47" i="19"/>
  <c r="G47" i="19"/>
  <c r="K47" i="19"/>
  <c r="D47" i="19"/>
  <c r="H47" i="19"/>
  <c r="L47" i="19"/>
  <c r="H71" i="20"/>
  <c r="H50" i="20"/>
  <c r="H49" i="20"/>
  <c r="J50" i="20"/>
  <c r="J49" i="20"/>
  <c r="J71" i="20"/>
  <c r="O8" i="20"/>
  <c r="C48" i="20"/>
  <c r="G48" i="20"/>
  <c r="O15" i="20"/>
  <c r="F50" i="20"/>
  <c r="F49" i="20"/>
  <c r="F71" i="20"/>
  <c r="N50" i="20"/>
  <c r="N49" i="20"/>
  <c r="N71" i="20"/>
  <c r="D48" i="20"/>
  <c r="L48" i="20"/>
  <c r="E71" i="20"/>
  <c r="E50" i="20"/>
  <c r="E49" i="20"/>
  <c r="I71" i="20"/>
  <c r="I50" i="20"/>
  <c r="I49" i="20"/>
  <c r="M71" i="20"/>
  <c r="M50" i="20"/>
  <c r="M49" i="20"/>
  <c r="O54" i="20"/>
  <c r="O9" i="20"/>
  <c r="O29" i="20"/>
  <c r="C46" i="20"/>
  <c r="G46" i="20"/>
  <c r="K46" i="20"/>
  <c r="H50" i="57"/>
  <c r="H49" i="57"/>
  <c r="F50" i="57"/>
  <c r="F49" i="57"/>
  <c r="J50" i="57"/>
  <c r="J49" i="57"/>
  <c r="N50" i="57"/>
  <c r="N49" i="57"/>
  <c r="O8" i="57"/>
  <c r="G48" i="57"/>
  <c r="O29" i="57"/>
  <c r="D48" i="57"/>
  <c r="L48" i="57"/>
  <c r="E50" i="57"/>
  <c r="E49" i="57"/>
  <c r="I71" i="57"/>
  <c r="I49" i="57"/>
  <c r="I50" i="57"/>
  <c r="M71" i="57"/>
  <c r="M50" i="57"/>
  <c r="M49" i="57"/>
  <c r="C46" i="57"/>
  <c r="K46" i="57"/>
  <c r="C15" i="57"/>
  <c r="O15" i="57" s="1"/>
  <c r="O9" i="57"/>
  <c r="G46" i="57"/>
  <c r="N50" i="18"/>
  <c r="M50" i="18"/>
  <c r="M49" i="18"/>
  <c r="O8" i="18"/>
  <c r="K49" i="18"/>
  <c r="K50" i="18"/>
  <c r="D49" i="18"/>
  <c r="E71" i="18"/>
  <c r="E50" i="18"/>
  <c r="E49" i="18"/>
  <c r="I50" i="18"/>
  <c r="I49" i="18"/>
  <c r="F49" i="18"/>
  <c r="L49" i="18"/>
  <c r="L71" i="18"/>
  <c r="L50" i="18"/>
  <c r="O29" i="18"/>
  <c r="C46" i="18"/>
  <c r="G46" i="18"/>
  <c r="K46" i="18"/>
  <c r="O9" i="18"/>
  <c r="N50" i="17"/>
  <c r="N49" i="17"/>
  <c r="I71" i="17"/>
  <c r="I50" i="17"/>
  <c r="I49" i="17"/>
  <c r="J50" i="17"/>
  <c r="J49" i="17"/>
  <c r="O8" i="17"/>
  <c r="G48" i="17"/>
  <c r="K49" i="17"/>
  <c r="K50" i="17"/>
  <c r="M50" i="17"/>
  <c r="M49" i="17"/>
  <c r="E50" i="17"/>
  <c r="E49" i="17"/>
  <c r="O9" i="17"/>
  <c r="C46" i="17"/>
  <c r="G46" i="17"/>
  <c r="K46" i="17"/>
  <c r="C15" i="17"/>
  <c r="M50" i="16"/>
  <c r="M49" i="16"/>
  <c r="M71" i="16"/>
  <c r="I50" i="16"/>
  <c r="I49" i="16"/>
  <c r="J50" i="16"/>
  <c r="J71" i="16"/>
  <c r="E50" i="16"/>
  <c r="E71" i="16"/>
  <c r="E49" i="16"/>
  <c r="F50" i="16"/>
  <c r="D71" i="16"/>
  <c r="D50" i="16"/>
  <c r="D49" i="16"/>
  <c r="H71" i="16"/>
  <c r="H50" i="16"/>
  <c r="H49" i="16"/>
  <c r="L71" i="16"/>
  <c r="L50" i="16"/>
  <c r="L49" i="16"/>
  <c r="O9" i="16"/>
  <c r="F46" i="16"/>
  <c r="O46" i="16" s="1"/>
  <c r="J46" i="16"/>
  <c r="N46" i="16"/>
  <c r="C54" i="16"/>
  <c r="O8" i="16"/>
  <c r="O16" i="16"/>
  <c r="D71" i="15"/>
  <c r="D50" i="15"/>
  <c r="D49" i="15"/>
  <c r="F48" i="15"/>
  <c r="N48" i="15"/>
  <c r="H48" i="15"/>
  <c r="O8" i="15"/>
  <c r="G48" i="15"/>
  <c r="O29" i="15"/>
  <c r="L50" i="15"/>
  <c r="L49" i="15"/>
  <c r="J48" i="15"/>
  <c r="E71" i="15"/>
  <c r="E50" i="15"/>
  <c r="E49" i="15"/>
  <c r="I50" i="15"/>
  <c r="I49" i="15"/>
  <c r="M71" i="15"/>
  <c r="M50" i="15"/>
  <c r="M49" i="15"/>
  <c r="O54" i="15"/>
  <c r="G46" i="15"/>
  <c r="O9" i="15"/>
  <c r="K46" i="15"/>
  <c r="C15" i="15"/>
  <c r="O15" i="15" s="1"/>
  <c r="C46" i="15"/>
  <c r="H50" i="14"/>
  <c r="D71" i="14"/>
  <c r="D49" i="14"/>
  <c r="D50" i="14"/>
  <c r="J50" i="14"/>
  <c r="K50" i="14"/>
  <c r="K49" i="14"/>
  <c r="C49" i="14"/>
  <c r="G50" i="14"/>
  <c r="G49" i="14"/>
  <c r="L71" i="14"/>
  <c r="G46" i="14"/>
  <c r="O55" i="14"/>
  <c r="O16" i="14"/>
  <c r="C46" i="14"/>
  <c r="K46" i="14"/>
  <c r="E8" i="14"/>
  <c r="E48" i="14" s="1"/>
  <c r="I8" i="14"/>
  <c r="I48" i="14" s="1"/>
  <c r="M8" i="14"/>
  <c r="M48" i="14" s="1"/>
  <c r="D50" i="13"/>
  <c r="P50" i="13"/>
  <c r="C15" i="13"/>
  <c r="C50" i="13" s="1"/>
  <c r="C47" i="13"/>
  <c r="G15" i="13"/>
  <c r="G50" i="13" s="1"/>
  <c r="G47" i="13"/>
  <c r="K47" i="13"/>
  <c r="K15" i="13"/>
  <c r="K50" i="13" s="1"/>
  <c r="O15" i="13"/>
  <c r="O50" i="13" s="1"/>
  <c r="O47" i="13"/>
  <c r="S15" i="13"/>
  <c r="S50" i="13" s="1"/>
  <c r="S47" i="13"/>
  <c r="M48" i="13"/>
  <c r="M52" i="13"/>
  <c r="M73" i="13"/>
  <c r="M51" i="13"/>
  <c r="Q52" i="13"/>
  <c r="Q73" i="13"/>
  <c r="F8" i="13"/>
  <c r="F50" i="13" s="1"/>
  <c r="J8" i="13"/>
  <c r="J50" i="13" s="1"/>
  <c r="N8" i="13"/>
  <c r="N50" i="13" s="1"/>
  <c r="R8" i="13"/>
  <c r="K50" i="20" l="1"/>
  <c r="K49" i="20"/>
  <c r="K71" i="20"/>
  <c r="L48" i="13"/>
  <c r="L73" i="13"/>
  <c r="O46" i="14"/>
  <c r="P32" i="3"/>
  <c r="P29" i="3" s="1"/>
  <c r="E29" i="6"/>
  <c r="D19" i="48"/>
  <c r="C20" i="48"/>
  <c r="D20" i="48" s="1"/>
  <c r="E19" i="48"/>
  <c r="E20" i="48" s="1"/>
  <c r="F20" i="48" s="1"/>
  <c r="M97" i="3"/>
  <c r="M30" i="3"/>
  <c r="M98" i="3" s="1"/>
  <c r="E97" i="3"/>
  <c r="E30" i="3"/>
  <c r="E98" i="3" s="1"/>
  <c r="Q97" i="3"/>
  <c r="Q30" i="3"/>
  <c r="Q98" i="3" s="1"/>
  <c r="I97" i="3"/>
  <c r="I30" i="3"/>
  <c r="I98" i="3" s="1"/>
  <c r="P97" i="3"/>
  <c r="P30" i="3"/>
  <c r="P98" i="3" s="1"/>
  <c r="K71" i="57"/>
  <c r="K49" i="57"/>
  <c r="K50" i="57"/>
  <c r="K71" i="18"/>
  <c r="N71" i="18"/>
  <c r="L52" i="13"/>
  <c r="L51" i="13"/>
  <c r="I52" i="13"/>
  <c r="H71" i="18"/>
  <c r="D71" i="18"/>
  <c r="J71" i="18"/>
  <c r="O15" i="18"/>
  <c r="J49" i="18"/>
  <c r="F71" i="18"/>
  <c r="J71" i="17"/>
  <c r="N50" i="16"/>
  <c r="N49" i="16"/>
  <c r="N71" i="16"/>
  <c r="F49" i="16"/>
  <c r="I71" i="16"/>
  <c r="O15" i="16"/>
  <c r="C48" i="15"/>
  <c r="F49" i="14"/>
  <c r="F50" i="14"/>
  <c r="F71" i="14"/>
  <c r="H49" i="14"/>
  <c r="N50" i="14"/>
  <c r="G71" i="14"/>
  <c r="L50" i="14"/>
  <c r="H73" i="13"/>
  <c r="H51" i="13"/>
  <c r="H52" i="13"/>
  <c r="H48" i="13"/>
  <c r="R50" i="13"/>
  <c r="L52" i="56"/>
  <c r="L7" i="56"/>
  <c r="D52" i="56"/>
  <c r="D7" i="56"/>
  <c r="H51" i="56"/>
  <c r="H34" i="56"/>
  <c r="H78" i="56" s="1"/>
  <c r="R52" i="56"/>
  <c r="R7" i="56"/>
  <c r="J52" i="56"/>
  <c r="J7" i="56"/>
  <c r="F52" i="56"/>
  <c r="F7" i="56"/>
  <c r="P51" i="56"/>
  <c r="P34" i="56"/>
  <c r="P78" i="56" s="1"/>
  <c r="O54" i="57"/>
  <c r="H50" i="18"/>
  <c r="D50" i="18"/>
  <c r="H49" i="18"/>
  <c r="O54" i="18"/>
  <c r="O15" i="17"/>
  <c r="F71" i="17"/>
  <c r="I51" i="13"/>
  <c r="E73" i="13"/>
  <c r="I48" i="13"/>
  <c r="E52" i="13"/>
  <c r="E48" i="13"/>
  <c r="Q48" i="13"/>
  <c r="D9" i="44"/>
  <c r="F9" i="44" s="1"/>
  <c r="E49" i="19"/>
  <c r="E50" i="19" s="1"/>
  <c r="F49" i="19"/>
  <c r="F50" i="19" s="1"/>
  <c r="AB7" i="47"/>
  <c r="V7" i="47"/>
  <c r="M27" i="47"/>
  <c r="N27" i="47" s="1"/>
  <c r="O27" i="47"/>
  <c r="P27" i="47" s="1"/>
  <c r="O55" i="19"/>
  <c r="G50" i="19"/>
  <c r="G51" i="19"/>
  <c r="M49" i="19"/>
  <c r="M51" i="19" s="1"/>
  <c r="I49" i="19"/>
  <c r="I50" i="19" s="1"/>
  <c r="K51" i="19"/>
  <c r="K50" i="19"/>
  <c r="K72" i="19"/>
  <c r="G72" i="19"/>
  <c r="C45" i="48"/>
  <c r="L51" i="19"/>
  <c r="L72" i="19"/>
  <c r="L50" i="19"/>
  <c r="H72" i="19"/>
  <c r="H51" i="19"/>
  <c r="H50" i="19"/>
  <c r="D51" i="19"/>
  <c r="D50" i="19"/>
  <c r="D72" i="19"/>
  <c r="O15" i="19"/>
  <c r="F19" i="48"/>
  <c r="G19" i="48"/>
  <c r="H19" i="48" s="1"/>
  <c r="F28" i="48"/>
  <c r="G28" i="48"/>
  <c r="H28" i="48" s="1"/>
  <c r="F23" i="48"/>
  <c r="G23" i="48"/>
  <c r="H23" i="48" s="1"/>
  <c r="E22" i="48"/>
  <c r="F13" i="48"/>
  <c r="G13" i="48"/>
  <c r="H13" i="48" s="1"/>
  <c r="E11" i="44"/>
  <c r="C9" i="44"/>
  <c r="E9" i="44" s="1"/>
  <c r="C42" i="7"/>
  <c r="C30" i="7"/>
  <c r="C29" i="7"/>
  <c r="C75" i="7"/>
  <c r="C26" i="7"/>
  <c r="J54" i="7"/>
  <c r="I75" i="7"/>
  <c r="I26" i="7"/>
  <c r="I73" i="7" s="1"/>
  <c r="I29" i="7"/>
  <c r="I76" i="7" s="1"/>
  <c r="I42" i="7"/>
  <c r="I30" i="7"/>
  <c r="I77" i="7" s="1"/>
  <c r="D29" i="7"/>
  <c r="D76" i="7" s="1"/>
  <c r="D75" i="7"/>
  <c r="D42" i="7"/>
  <c r="D30" i="7"/>
  <c r="D77" i="7" s="1"/>
  <c r="D26" i="7"/>
  <c r="D73" i="7" s="1"/>
  <c r="O7" i="7"/>
  <c r="O54" i="7" s="1"/>
  <c r="E28" i="7"/>
  <c r="N14" i="7"/>
  <c r="N61" i="7" s="1"/>
  <c r="N62" i="7"/>
  <c r="F14" i="7"/>
  <c r="F61" i="7" s="1"/>
  <c r="F62" i="7"/>
  <c r="O15" i="7"/>
  <c r="O62" i="7" s="1"/>
  <c r="N54" i="7"/>
  <c r="N28" i="7"/>
  <c r="G28" i="7"/>
  <c r="M75" i="7"/>
  <c r="M26" i="7"/>
  <c r="M73" i="7" s="1"/>
  <c r="M29" i="7"/>
  <c r="M76" i="7" s="1"/>
  <c r="M42" i="7"/>
  <c r="M30" i="7"/>
  <c r="M77" i="7" s="1"/>
  <c r="H29" i="7"/>
  <c r="H76" i="7" s="1"/>
  <c r="H75" i="7"/>
  <c r="H42" i="7"/>
  <c r="H30" i="7"/>
  <c r="H77" i="7" s="1"/>
  <c r="H26" i="7"/>
  <c r="H73" i="7" s="1"/>
  <c r="L29" i="7"/>
  <c r="L76" i="7" s="1"/>
  <c r="L75" i="7"/>
  <c r="L42" i="7"/>
  <c r="L30" i="7"/>
  <c r="L77" i="7" s="1"/>
  <c r="L26" i="7"/>
  <c r="L73" i="7" s="1"/>
  <c r="J14" i="7"/>
  <c r="J61" i="7" s="1"/>
  <c r="J62" i="7"/>
  <c r="C61" i="7"/>
  <c r="O14" i="7"/>
  <c r="O61" i="7" s="1"/>
  <c r="N25" i="7"/>
  <c r="N72" i="7" s="1"/>
  <c r="F54" i="7"/>
  <c r="K28" i="7"/>
  <c r="C75" i="6"/>
  <c r="C63" i="6"/>
  <c r="F56" i="6"/>
  <c r="J14" i="6"/>
  <c r="J63" i="6" s="1"/>
  <c r="J64" i="6"/>
  <c r="M29" i="6"/>
  <c r="F14" i="6"/>
  <c r="F63" i="6" s="1"/>
  <c r="F64" i="6"/>
  <c r="O15" i="6"/>
  <c r="O64" i="6" s="1"/>
  <c r="E27" i="6"/>
  <c r="E76" i="6" s="1"/>
  <c r="E78" i="6"/>
  <c r="E43" i="6"/>
  <c r="E31" i="6"/>
  <c r="E80" i="6" s="1"/>
  <c r="E30" i="6"/>
  <c r="E79" i="6" s="1"/>
  <c r="L78" i="6"/>
  <c r="L30" i="6"/>
  <c r="L79" i="6" s="1"/>
  <c r="L27" i="6"/>
  <c r="L76" i="6" s="1"/>
  <c r="L43" i="6"/>
  <c r="L31" i="6"/>
  <c r="L80" i="6" s="1"/>
  <c r="K29" i="6"/>
  <c r="N14" i="6"/>
  <c r="N63" i="6" s="1"/>
  <c r="N64" i="6"/>
  <c r="J56" i="6"/>
  <c r="J29" i="6"/>
  <c r="O7" i="6"/>
  <c r="O56" i="6" s="1"/>
  <c r="C29" i="6"/>
  <c r="G29" i="6"/>
  <c r="D78" i="6"/>
  <c r="D30" i="6"/>
  <c r="D79" i="6" s="1"/>
  <c r="D27" i="6"/>
  <c r="D76" i="6" s="1"/>
  <c r="D43" i="6"/>
  <c r="D31" i="6"/>
  <c r="D80" i="6" s="1"/>
  <c r="H78" i="6"/>
  <c r="H30" i="6"/>
  <c r="H79" i="6" s="1"/>
  <c r="H27" i="6"/>
  <c r="H76" i="6" s="1"/>
  <c r="H31" i="6"/>
  <c r="H80" i="6" s="1"/>
  <c r="H43" i="6"/>
  <c r="N56" i="6"/>
  <c r="F26" i="6"/>
  <c r="F75" i="6" s="1"/>
  <c r="I29" i="6"/>
  <c r="S85" i="3"/>
  <c r="S16" i="3"/>
  <c r="C85" i="3"/>
  <c r="C16" i="3"/>
  <c r="F32" i="3"/>
  <c r="F29" i="3" s="1"/>
  <c r="F76" i="3"/>
  <c r="G85" i="3"/>
  <c r="G16" i="3"/>
  <c r="O85" i="3"/>
  <c r="O16" i="3"/>
  <c r="R32" i="3"/>
  <c r="R29" i="3" s="1"/>
  <c r="R76" i="3"/>
  <c r="Q33" i="3"/>
  <c r="Q101" i="3" s="1"/>
  <c r="Q46" i="3"/>
  <c r="Q100" i="3"/>
  <c r="Q34" i="3"/>
  <c r="I33" i="3"/>
  <c r="I101" i="3" s="1"/>
  <c r="I46" i="3"/>
  <c r="I100" i="3"/>
  <c r="I34" i="3"/>
  <c r="I102" i="3" s="1"/>
  <c r="S27" i="3"/>
  <c r="S95" i="3" s="1"/>
  <c r="C27" i="3"/>
  <c r="C95" i="3" s="1"/>
  <c r="L32" i="3"/>
  <c r="L29" i="3" s="1"/>
  <c r="D32" i="3"/>
  <c r="D29" i="3" s="1"/>
  <c r="K85" i="3"/>
  <c r="K16" i="3"/>
  <c r="N32" i="3"/>
  <c r="N29" i="3" s="1"/>
  <c r="N76" i="3"/>
  <c r="J32" i="3"/>
  <c r="J29" i="3" s="1"/>
  <c r="J76" i="3"/>
  <c r="M33" i="3"/>
  <c r="M101" i="3" s="1"/>
  <c r="M46" i="3"/>
  <c r="M100" i="3"/>
  <c r="M34" i="3"/>
  <c r="M102" i="3" s="1"/>
  <c r="E33" i="3"/>
  <c r="E101" i="3" s="1"/>
  <c r="E46" i="3"/>
  <c r="E100" i="3"/>
  <c r="E34" i="3"/>
  <c r="E102" i="3" s="1"/>
  <c r="G27" i="3"/>
  <c r="G95" i="3" s="1"/>
  <c r="P100" i="3"/>
  <c r="P34" i="3"/>
  <c r="P102" i="3" s="1"/>
  <c r="P33" i="3"/>
  <c r="P101" i="3" s="1"/>
  <c r="P46" i="3"/>
  <c r="H32" i="3"/>
  <c r="H29" i="3" s="1"/>
  <c r="O54" i="14"/>
  <c r="N49" i="14"/>
  <c r="C71" i="14"/>
  <c r="J49" i="14"/>
  <c r="H71" i="17"/>
  <c r="H49" i="17"/>
  <c r="F50" i="17"/>
  <c r="L50" i="17"/>
  <c r="O54" i="17"/>
  <c r="D71" i="17"/>
  <c r="D49" i="17"/>
  <c r="D50" i="17"/>
  <c r="H50" i="17"/>
  <c r="L71" i="17"/>
  <c r="O54" i="16"/>
  <c r="K48" i="16"/>
  <c r="G71" i="16"/>
  <c r="G49" i="16"/>
  <c r="G50" i="16"/>
  <c r="C49" i="16"/>
  <c r="C50" i="16"/>
  <c r="O48" i="16"/>
  <c r="K52" i="56"/>
  <c r="K7" i="56"/>
  <c r="O34" i="56"/>
  <c r="O78" i="56" s="1"/>
  <c r="O51" i="56"/>
  <c r="G52" i="56"/>
  <c r="G7" i="56"/>
  <c r="U34" i="56"/>
  <c r="U78" i="56" s="1"/>
  <c r="U51" i="56"/>
  <c r="C34" i="56"/>
  <c r="C78" i="56" s="1"/>
  <c r="C51" i="56"/>
  <c r="O47" i="19"/>
  <c r="C50" i="19"/>
  <c r="C72" i="19"/>
  <c r="C51" i="19"/>
  <c r="J51" i="19"/>
  <c r="J50" i="19"/>
  <c r="J72" i="19"/>
  <c r="O8" i="19"/>
  <c r="N51" i="19"/>
  <c r="N50" i="19"/>
  <c r="N72" i="19"/>
  <c r="D71" i="20"/>
  <c r="D50" i="20"/>
  <c r="D49" i="20"/>
  <c r="O46" i="20"/>
  <c r="C49" i="20"/>
  <c r="O48" i="20"/>
  <c r="C71" i="20"/>
  <c r="O71" i="20" s="1"/>
  <c r="C50" i="20"/>
  <c r="L71" i="20"/>
  <c r="L50" i="20"/>
  <c r="L49" i="20"/>
  <c r="G49" i="20"/>
  <c r="G71" i="20"/>
  <c r="G50" i="20"/>
  <c r="D50" i="57"/>
  <c r="D49" i="57"/>
  <c r="D71" i="57"/>
  <c r="G49" i="57"/>
  <c r="G71" i="57"/>
  <c r="G50" i="57"/>
  <c r="O46" i="57"/>
  <c r="C48" i="57"/>
  <c r="L50" i="57"/>
  <c r="L71" i="57"/>
  <c r="L49" i="57"/>
  <c r="G49" i="18"/>
  <c r="G71" i="18"/>
  <c r="G50" i="18"/>
  <c r="O46" i="18"/>
  <c r="C49" i="18"/>
  <c r="O48" i="18"/>
  <c r="C50" i="18"/>
  <c r="C71" i="18"/>
  <c r="G49" i="17"/>
  <c r="G50" i="17"/>
  <c r="G71" i="17"/>
  <c r="O46" i="17"/>
  <c r="C48" i="17"/>
  <c r="C71" i="16"/>
  <c r="F50" i="15"/>
  <c r="F49" i="15"/>
  <c r="F71" i="15"/>
  <c r="J50" i="15"/>
  <c r="J71" i="15"/>
  <c r="J49" i="15"/>
  <c r="C49" i="15"/>
  <c r="C50" i="15"/>
  <c r="O48" i="15"/>
  <c r="C71" i="15"/>
  <c r="O46" i="15"/>
  <c r="K49" i="15"/>
  <c r="K71" i="15"/>
  <c r="K50" i="15"/>
  <c r="H71" i="15"/>
  <c r="H49" i="15"/>
  <c r="H50" i="15"/>
  <c r="G49" i="15"/>
  <c r="G50" i="15"/>
  <c r="G71" i="15"/>
  <c r="N50" i="15"/>
  <c r="N49" i="15"/>
  <c r="N71" i="15"/>
  <c r="I71" i="14"/>
  <c r="I49" i="14"/>
  <c r="I50" i="14"/>
  <c r="E71" i="14"/>
  <c r="E49" i="14"/>
  <c r="E50" i="14"/>
  <c r="M71" i="14"/>
  <c r="M49" i="14"/>
  <c r="M50" i="14"/>
  <c r="O8" i="14"/>
  <c r="O48" i="14"/>
  <c r="K73" i="13"/>
  <c r="K51" i="13"/>
  <c r="K48" i="13"/>
  <c r="K52" i="13"/>
  <c r="C73" i="13"/>
  <c r="C51" i="13"/>
  <c r="C52" i="13"/>
  <c r="C48" i="13"/>
  <c r="S73" i="13"/>
  <c r="S51" i="13"/>
  <c r="S52" i="13"/>
  <c r="S48" i="13"/>
  <c r="O73" i="13"/>
  <c r="O51" i="13"/>
  <c r="O52" i="13"/>
  <c r="O48" i="13"/>
  <c r="G73" i="13"/>
  <c r="G51" i="13"/>
  <c r="G52" i="13"/>
  <c r="G48" i="13"/>
  <c r="N52" i="13"/>
  <c r="N48" i="13"/>
  <c r="N73" i="13"/>
  <c r="N51" i="13"/>
  <c r="J52" i="13"/>
  <c r="J73" i="13"/>
  <c r="J51" i="13"/>
  <c r="J48" i="13"/>
  <c r="P48" i="13"/>
  <c r="P52" i="13"/>
  <c r="P73" i="13"/>
  <c r="P51" i="13"/>
  <c r="F52" i="13"/>
  <c r="F48" i="13"/>
  <c r="F73" i="13"/>
  <c r="F51" i="13"/>
  <c r="D48" i="13"/>
  <c r="D51" i="13"/>
  <c r="D52" i="13"/>
  <c r="D73" i="13"/>
  <c r="R52" i="13"/>
  <c r="R73" i="13"/>
  <c r="R51" i="13"/>
  <c r="R48" i="13"/>
  <c r="O50" i="20" l="1"/>
  <c r="J28" i="7"/>
  <c r="J97" i="3"/>
  <c r="J30" i="3"/>
  <c r="J98" i="3" s="1"/>
  <c r="F97" i="3"/>
  <c r="F30" i="3"/>
  <c r="F98" i="3" s="1"/>
  <c r="H97" i="3"/>
  <c r="H30" i="3"/>
  <c r="H98" i="3" s="1"/>
  <c r="D30" i="3"/>
  <c r="D98" i="3" s="1"/>
  <c r="D97" i="3"/>
  <c r="N97" i="3"/>
  <c r="N30" i="3"/>
  <c r="N98" i="3" s="1"/>
  <c r="L97" i="3"/>
  <c r="L30" i="3"/>
  <c r="L98" i="3" s="1"/>
  <c r="R30" i="3"/>
  <c r="R98" i="3" s="1"/>
  <c r="R97" i="3"/>
  <c r="O50" i="18"/>
  <c r="O49" i="18"/>
  <c r="O50" i="14"/>
  <c r="D45" i="48"/>
  <c r="D51" i="56"/>
  <c r="D34" i="56"/>
  <c r="D78" i="56" s="1"/>
  <c r="L51" i="56"/>
  <c r="L34" i="56"/>
  <c r="L78" i="56" s="1"/>
  <c r="F34" i="56"/>
  <c r="F78" i="56" s="1"/>
  <c r="F51" i="56"/>
  <c r="R34" i="56"/>
  <c r="R78" i="56" s="1"/>
  <c r="R51" i="56"/>
  <c r="J34" i="56"/>
  <c r="J78" i="56" s="1"/>
  <c r="J51" i="56"/>
  <c r="O71" i="18"/>
  <c r="I51" i="19"/>
  <c r="E72" i="19"/>
  <c r="E51" i="19"/>
  <c r="F51" i="19"/>
  <c r="M72" i="19"/>
  <c r="F72" i="19"/>
  <c r="I72" i="19"/>
  <c r="M50" i="19"/>
  <c r="O50" i="19" s="1"/>
  <c r="O49" i="19"/>
  <c r="G22" i="48"/>
  <c r="H22" i="48" s="1"/>
  <c r="E45" i="48"/>
  <c r="F22" i="48"/>
  <c r="F28" i="7"/>
  <c r="O25" i="7"/>
  <c r="O72" i="7" s="1"/>
  <c r="C76" i="7"/>
  <c r="K42" i="7"/>
  <c r="K30" i="7"/>
  <c r="K77" i="7" s="1"/>
  <c r="K29" i="7"/>
  <c r="K76" i="7" s="1"/>
  <c r="K75" i="7"/>
  <c r="K26" i="7"/>
  <c r="K73" i="7" s="1"/>
  <c r="N26" i="7"/>
  <c r="N73" i="7" s="1"/>
  <c r="N42" i="7"/>
  <c r="N30" i="7"/>
  <c r="N77" i="7" s="1"/>
  <c r="N75" i="7"/>
  <c r="N29" i="7"/>
  <c r="N76" i="7" s="1"/>
  <c r="C77" i="7"/>
  <c r="J26" i="7"/>
  <c r="J73" i="7" s="1"/>
  <c r="J42" i="7"/>
  <c r="J30" i="7"/>
  <c r="J77" i="7" s="1"/>
  <c r="J75" i="7"/>
  <c r="J29" i="7"/>
  <c r="J76" i="7" s="1"/>
  <c r="G42" i="7"/>
  <c r="G30" i="7"/>
  <c r="G77" i="7" s="1"/>
  <c r="G29" i="7"/>
  <c r="G76" i="7" s="1"/>
  <c r="G75" i="7"/>
  <c r="G26" i="7"/>
  <c r="G73" i="7" s="1"/>
  <c r="E75" i="7"/>
  <c r="E26" i="7"/>
  <c r="E73" i="7" s="1"/>
  <c r="E29" i="7"/>
  <c r="E76" i="7" s="1"/>
  <c r="E42" i="7"/>
  <c r="E30" i="7"/>
  <c r="E77" i="7" s="1"/>
  <c r="C73" i="7"/>
  <c r="J27" i="6"/>
  <c r="J76" i="6" s="1"/>
  <c r="J43" i="6"/>
  <c r="J31" i="6"/>
  <c r="J80" i="6" s="1"/>
  <c r="J78" i="6"/>
  <c r="J30" i="6"/>
  <c r="J79" i="6" s="1"/>
  <c r="K43" i="6"/>
  <c r="K31" i="6"/>
  <c r="K80" i="6" s="1"/>
  <c r="K78" i="6"/>
  <c r="K30" i="6"/>
  <c r="K79" i="6" s="1"/>
  <c r="K27" i="6"/>
  <c r="K76" i="6" s="1"/>
  <c r="O14" i="6"/>
  <c r="O63" i="6" s="1"/>
  <c r="N29" i="6"/>
  <c r="G43" i="6"/>
  <c r="G31" i="6"/>
  <c r="G80" i="6" s="1"/>
  <c r="G78" i="6"/>
  <c r="G30" i="6"/>
  <c r="G79" i="6" s="1"/>
  <c r="G27" i="6"/>
  <c r="G76" i="6" s="1"/>
  <c r="F29" i="6"/>
  <c r="I27" i="6"/>
  <c r="I76" i="6" s="1"/>
  <c r="I43" i="6"/>
  <c r="I31" i="6"/>
  <c r="I80" i="6" s="1"/>
  <c r="I78" i="6"/>
  <c r="I30" i="6"/>
  <c r="I79" i="6" s="1"/>
  <c r="C43" i="6"/>
  <c r="C31" i="6"/>
  <c r="C78" i="6"/>
  <c r="C30" i="6"/>
  <c r="O29" i="6"/>
  <c r="O78" i="6" s="1"/>
  <c r="C27" i="6"/>
  <c r="M78" i="6"/>
  <c r="M27" i="6"/>
  <c r="M76" i="6" s="1"/>
  <c r="M43" i="6"/>
  <c r="M31" i="6"/>
  <c r="M80" i="6" s="1"/>
  <c r="M30" i="6"/>
  <c r="M79" i="6" s="1"/>
  <c r="O26" i="6"/>
  <c r="O75" i="6" s="1"/>
  <c r="N46" i="3"/>
  <c r="N100" i="3"/>
  <c r="N34" i="3"/>
  <c r="N102" i="3" s="1"/>
  <c r="N33" i="3"/>
  <c r="N101" i="3" s="1"/>
  <c r="K84" i="3"/>
  <c r="K32" i="3"/>
  <c r="K29" i="3" s="1"/>
  <c r="G84" i="3"/>
  <c r="G32" i="3"/>
  <c r="G29" i="3" s="1"/>
  <c r="C84" i="3"/>
  <c r="C32" i="3"/>
  <c r="C29" i="3" s="1"/>
  <c r="L100" i="3"/>
  <c r="L34" i="3"/>
  <c r="L102" i="3" s="1"/>
  <c r="L33" i="3"/>
  <c r="L101" i="3" s="1"/>
  <c r="L46" i="3"/>
  <c r="J46" i="3"/>
  <c r="J100" i="3"/>
  <c r="J34" i="3"/>
  <c r="J102" i="3" s="1"/>
  <c r="J33" i="3"/>
  <c r="J101" i="3" s="1"/>
  <c r="R46" i="3"/>
  <c r="R100" i="3"/>
  <c r="R34" i="3"/>
  <c r="R33" i="3"/>
  <c r="R101" i="3" s="1"/>
  <c r="H100" i="3"/>
  <c r="H34" i="3"/>
  <c r="H102" i="3" s="1"/>
  <c r="H33" i="3"/>
  <c r="H101" i="3" s="1"/>
  <c r="H46" i="3"/>
  <c r="F46" i="3"/>
  <c r="F100" i="3"/>
  <c r="F34" i="3"/>
  <c r="F102" i="3" s="1"/>
  <c r="F33" i="3"/>
  <c r="F101" i="3" s="1"/>
  <c r="D100" i="3"/>
  <c r="D34" i="3"/>
  <c r="D102" i="3" s="1"/>
  <c r="D33" i="3"/>
  <c r="D101" i="3" s="1"/>
  <c r="D46" i="3"/>
  <c r="O84" i="3"/>
  <c r="O32" i="3"/>
  <c r="O29" i="3" s="1"/>
  <c r="S84" i="3"/>
  <c r="S32" i="3"/>
  <c r="S29" i="3" s="1"/>
  <c r="Y34" i="3"/>
  <c r="Q102" i="3"/>
  <c r="O49" i="14"/>
  <c r="O71" i="14"/>
  <c r="K71" i="16"/>
  <c r="O71" i="16" s="1"/>
  <c r="K49" i="16"/>
  <c r="O49" i="16" s="1"/>
  <c r="K50" i="16"/>
  <c r="O50" i="16" s="1"/>
  <c r="G34" i="56"/>
  <c r="G78" i="56" s="1"/>
  <c r="G51" i="56"/>
  <c r="K34" i="56"/>
  <c r="K78" i="56" s="1"/>
  <c r="K51" i="56"/>
  <c r="O49" i="20"/>
  <c r="C49" i="57"/>
  <c r="O49" i="57" s="1"/>
  <c r="C71" i="57"/>
  <c r="O71" i="57" s="1"/>
  <c r="C50" i="57"/>
  <c r="O50" i="57" s="1"/>
  <c r="O48" i="57"/>
  <c r="C49" i="17"/>
  <c r="O49" i="17" s="1"/>
  <c r="O48" i="17"/>
  <c r="C71" i="17"/>
  <c r="O71" i="17" s="1"/>
  <c r="C50" i="17"/>
  <c r="O50" i="17" s="1"/>
  <c r="O49" i="15"/>
  <c r="O50" i="15"/>
  <c r="O71" i="15"/>
  <c r="G97" i="3" l="1"/>
  <c r="G30" i="3"/>
  <c r="G98" i="3" s="1"/>
  <c r="S97" i="3"/>
  <c r="S30" i="3"/>
  <c r="S98" i="3" s="1"/>
  <c r="C30" i="3"/>
  <c r="C98" i="3" s="1"/>
  <c r="C97" i="3"/>
  <c r="K97" i="3"/>
  <c r="K30" i="3"/>
  <c r="K98" i="3" s="1"/>
  <c r="O97" i="3"/>
  <c r="O30" i="3"/>
  <c r="O98" i="3" s="1"/>
  <c r="O51" i="19"/>
  <c r="O72" i="19"/>
  <c r="G45" i="48"/>
  <c r="H45" i="48" s="1"/>
  <c r="F45" i="48"/>
  <c r="F26" i="7"/>
  <c r="F42" i="7"/>
  <c r="O42" i="7" s="1"/>
  <c r="F30" i="7"/>
  <c r="F77" i="7" s="1"/>
  <c r="F75" i="7"/>
  <c r="F29" i="7"/>
  <c r="F76" i="7" s="1"/>
  <c r="O28" i="7"/>
  <c r="O75" i="7" s="1"/>
  <c r="C79" i="6"/>
  <c r="N27" i="6"/>
  <c r="N76" i="6" s="1"/>
  <c r="N43" i="6"/>
  <c r="N31" i="6"/>
  <c r="N80" i="6" s="1"/>
  <c r="N78" i="6"/>
  <c r="N30" i="6"/>
  <c r="N79" i="6" s="1"/>
  <c r="F27" i="6"/>
  <c r="F76" i="6" s="1"/>
  <c r="F43" i="6"/>
  <c r="O43" i="6" s="1"/>
  <c r="F31" i="6"/>
  <c r="F80" i="6" s="1"/>
  <c r="F78" i="6"/>
  <c r="F30" i="6"/>
  <c r="F79" i="6" s="1"/>
  <c r="C76" i="6"/>
  <c r="O31" i="6"/>
  <c r="O80" i="6" s="1"/>
  <c r="C80" i="6"/>
  <c r="O100" i="3"/>
  <c r="O34" i="3"/>
  <c r="O102" i="3" s="1"/>
  <c r="O33" i="3"/>
  <c r="O101" i="3" s="1"/>
  <c r="O46" i="3"/>
  <c r="C100" i="3"/>
  <c r="C34" i="3"/>
  <c r="C102" i="3" s="1"/>
  <c r="C33" i="3"/>
  <c r="C101" i="3" s="1"/>
  <c r="C46" i="3"/>
  <c r="K100" i="3"/>
  <c r="K34" i="3"/>
  <c r="K102" i="3" s="1"/>
  <c r="K33" i="3"/>
  <c r="K101" i="3" s="1"/>
  <c r="K46" i="3"/>
  <c r="S100" i="3"/>
  <c r="S34" i="3"/>
  <c r="AA34" i="3" s="1"/>
  <c r="S33" i="3"/>
  <c r="S101" i="3" s="1"/>
  <c r="S46" i="3"/>
  <c r="R102" i="3"/>
  <c r="Z34" i="3"/>
  <c r="G100" i="3"/>
  <c r="G34" i="3"/>
  <c r="G102" i="3" s="1"/>
  <c r="G33" i="3"/>
  <c r="G101" i="3" s="1"/>
  <c r="G46" i="3"/>
  <c r="O30" i="7" l="1"/>
  <c r="O77" i="7" s="1"/>
  <c r="F73" i="7"/>
  <c r="O26" i="7"/>
  <c r="O73" i="7" s="1"/>
  <c r="O29" i="7"/>
  <c r="O76" i="7" s="1"/>
  <c r="O27" i="6"/>
  <c r="O76" i="6" s="1"/>
  <c r="O30" i="6"/>
  <c r="O79" i="6" s="1"/>
  <c r="S102" i="3"/>
  <c r="O33" i="55" l="1"/>
  <c r="O32" i="55"/>
  <c r="N31" i="55"/>
  <c r="M31" i="55"/>
  <c r="L31" i="55"/>
  <c r="K31" i="55"/>
  <c r="J31" i="55"/>
  <c r="I31" i="55"/>
  <c r="H31" i="55"/>
  <c r="G31" i="55"/>
  <c r="F31" i="55"/>
  <c r="E31" i="55"/>
  <c r="D31" i="55"/>
  <c r="C31" i="55"/>
  <c r="O31" i="55" s="1"/>
  <c r="O28" i="55"/>
  <c r="O27" i="55"/>
  <c r="N26" i="55"/>
  <c r="M26" i="55"/>
  <c r="L26" i="55"/>
  <c r="K26" i="55"/>
  <c r="J26" i="55"/>
  <c r="I26" i="55"/>
  <c r="H26" i="55"/>
  <c r="G26" i="55"/>
  <c r="F26" i="55"/>
  <c r="E26" i="55"/>
  <c r="D26" i="55"/>
  <c r="C26" i="55"/>
  <c r="O26" i="55" s="1"/>
  <c r="O25" i="55"/>
  <c r="O24" i="55"/>
  <c r="O23" i="55"/>
  <c r="O22" i="55"/>
  <c r="O21" i="55"/>
  <c r="O20" i="55"/>
  <c r="N19" i="55"/>
  <c r="M19" i="55"/>
  <c r="L19" i="55"/>
  <c r="K19" i="55"/>
  <c r="J19" i="55"/>
  <c r="I19" i="55"/>
  <c r="H19" i="55"/>
  <c r="G19" i="55"/>
  <c r="F19" i="55"/>
  <c r="E19" i="55"/>
  <c r="D19" i="55"/>
  <c r="C19" i="55"/>
  <c r="O19" i="55" s="1"/>
  <c r="O18" i="55"/>
  <c r="O17" i="55"/>
  <c r="O16" i="55"/>
  <c r="O15" i="55"/>
  <c r="N14" i="55"/>
  <c r="N8" i="55" s="1"/>
  <c r="N7" i="55" s="1"/>
  <c r="N29" i="55" s="1"/>
  <c r="M14" i="55"/>
  <c r="M8" i="55" s="1"/>
  <c r="M7" i="55" s="1"/>
  <c r="M29" i="55" s="1"/>
  <c r="L14" i="55"/>
  <c r="K14" i="55"/>
  <c r="J14" i="55"/>
  <c r="J8" i="55" s="1"/>
  <c r="J7" i="55" s="1"/>
  <c r="J29" i="55" s="1"/>
  <c r="I14" i="55"/>
  <c r="I8" i="55" s="1"/>
  <c r="I7" i="55" s="1"/>
  <c r="I29" i="55" s="1"/>
  <c r="H14" i="55"/>
  <c r="G14" i="55"/>
  <c r="F14" i="55"/>
  <c r="F8" i="55" s="1"/>
  <c r="F7" i="55" s="1"/>
  <c r="F29" i="55" s="1"/>
  <c r="E14" i="55"/>
  <c r="E8" i="55" s="1"/>
  <c r="E7" i="55" s="1"/>
  <c r="E29" i="55" s="1"/>
  <c r="D14" i="55"/>
  <c r="C14" i="55"/>
  <c r="O13" i="55"/>
  <c r="O12" i="55"/>
  <c r="O11" i="55"/>
  <c r="O10" i="55"/>
  <c r="O9" i="55"/>
  <c r="L8" i="55"/>
  <c r="L7" i="55" s="1"/>
  <c r="L29" i="55" s="1"/>
  <c r="K8" i="55"/>
  <c r="K7" i="55" s="1"/>
  <c r="K29" i="55" s="1"/>
  <c r="H8" i="55"/>
  <c r="H7" i="55" s="1"/>
  <c r="H29" i="55" s="1"/>
  <c r="G8" i="55"/>
  <c r="G7" i="55" s="1"/>
  <c r="G29" i="55" s="1"/>
  <c r="D8" i="55"/>
  <c r="D7" i="55" s="1"/>
  <c r="D29" i="55" s="1"/>
  <c r="C8" i="55"/>
  <c r="O14" i="55" l="1"/>
  <c r="O8" i="55"/>
  <c r="C7" i="55"/>
  <c r="O7" i="55" l="1"/>
  <c r="C29" i="55"/>
  <c r="O29" i="55" s="1"/>
  <c r="U20" i="41" l="1"/>
  <c r="R20" i="41"/>
  <c r="Q20" i="41"/>
  <c r="P20" i="41"/>
  <c r="O20" i="41"/>
  <c r="N20" i="41"/>
  <c r="M20" i="41"/>
  <c r="L20" i="41"/>
  <c r="K20" i="41"/>
  <c r="J20" i="41"/>
  <c r="I20" i="41"/>
  <c r="H20" i="41"/>
  <c r="G20" i="41"/>
  <c r="F20" i="41"/>
  <c r="E20" i="41"/>
  <c r="D20" i="41"/>
  <c r="C20" i="41"/>
  <c r="U8" i="41"/>
  <c r="U11" i="41" s="1"/>
  <c r="R8" i="41"/>
  <c r="R11" i="41" s="1"/>
  <c r="Q8" i="41"/>
  <c r="Q11" i="41" s="1"/>
  <c r="P8" i="41"/>
  <c r="P11" i="41" s="1"/>
  <c r="O8" i="41"/>
  <c r="O11" i="41" s="1"/>
  <c r="N8" i="41"/>
  <c r="N11" i="41" s="1"/>
  <c r="M8" i="41"/>
  <c r="M11" i="41" s="1"/>
  <c r="L8" i="41"/>
  <c r="L11" i="41" s="1"/>
  <c r="K8" i="41"/>
  <c r="K11" i="41" s="1"/>
  <c r="J8" i="41"/>
  <c r="J11" i="41" s="1"/>
  <c r="I8" i="41"/>
  <c r="I11" i="41" s="1"/>
  <c r="H8" i="41"/>
  <c r="H11" i="41" s="1"/>
  <c r="G8" i="41"/>
  <c r="G11" i="41" s="1"/>
  <c r="F8" i="41"/>
  <c r="F11" i="41" s="1"/>
  <c r="E8" i="41"/>
  <c r="E11" i="41" s="1"/>
  <c r="D8" i="41"/>
  <c r="D11" i="41" s="1"/>
  <c r="C8" i="41"/>
  <c r="C11" i="41" s="1"/>
  <c r="J49" i="40"/>
  <c r="I49" i="40"/>
  <c r="J48" i="40"/>
  <c r="I48" i="40"/>
  <c r="J47" i="40"/>
  <c r="I47" i="40"/>
  <c r="J46" i="40"/>
  <c r="I46" i="40"/>
  <c r="J45" i="40"/>
  <c r="I45" i="40"/>
  <c r="J44" i="40"/>
  <c r="I44" i="40"/>
  <c r="J43" i="40"/>
  <c r="I43" i="40"/>
  <c r="J42" i="40"/>
  <c r="I42" i="40"/>
  <c r="J41" i="40"/>
  <c r="I41" i="40"/>
  <c r="J40" i="40"/>
  <c r="I40" i="40"/>
  <c r="I39" i="40"/>
  <c r="J39" i="40"/>
  <c r="J37" i="40"/>
  <c r="I37" i="40"/>
  <c r="J36" i="40"/>
  <c r="I36" i="40"/>
  <c r="J34" i="40"/>
  <c r="I34" i="40"/>
  <c r="J33" i="40"/>
  <c r="I33" i="40"/>
  <c r="J32" i="40"/>
  <c r="I32" i="40"/>
  <c r="J31" i="40"/>
  <c r="I31" i="40"/>
  <c r="J30" i="40"/>
  <c r="I30" i="40"/>
  <c r="J29" i="40"/>
  <c r="I29" i="40"/>
  <c r="H28" i="40"/>
  <c r="G28" i="40"/>
  <c r="C28" i="40"/>
  <c r="J27" i="40"/>
  <c r="I27" i="40"/>
  <c r="J26" i="40"/>
  <c r="I26" i="40"/>
  <c r="J25" i="40"/>
  <c r="I25" i="40"/>
  <c r="H24" i="40"/>
  <c r="G24" i="40"/>
  <c r="F24" i="40"/>
  <c r="C24" i="40"/>
  <c r="J23" i="40"/>
  <c r="I23" i="40"/>
  <c r="J22" i="40"/>
  <c r="I22" i="40"/>
  <c r="J21" i="40"/>
  <c r="I21" i="40"/>
  <c r="J20" i="40"/>
  <c r="I20" i="40"/>
  <c r="J19" i="40"/>
  <c r="I19" i="40"/>
  <c r="J17" i="40"/>
  <c r="I17" i="40"/>
  <c r="J16" i="40"/>
  <c r="I16" i="40"/>
  <c r="J15" i="40"/>
  <c r="I15" i="40"/>
  <c r="J14" i="40"/>
  <c r="I14" i="40"/>
  <c r="J13" i="40"/>
  <c r="I13" i="40"/>
  <c r="J12" i="40"/>
  <c r="I12" i="40"/>
  <c r="J11" i="40"/>
  <c r="I11" i="40"/>
  <c r="J10" i="40"/>
  <c r="I10" i="40"/>
  <c r="J9" i="40"/>
  <c r="I9" i="40"/>
  <c r="H8" i="40"/>
  <c r="G8" i="40"/>
  <c r="F8" i="40"/>
  <c r="C8" i="40"/>
  <c r="J7" i="40"/>
  <c r="I7" i="40"/>
  <c r="J6" i="40"/>
  <c r="I6" i="40"/>
  <c r="U126" i="39"/>
  <c r="Q126" i="39"/>
  <c r="P126" i="39"/>
  <c r="O126" i="39"/>
  <c r="N126" i="39"/>
  <c r="M126" i="39"/>
  <c r="L126" i="39"/>
  <c r="K126" i="39"/>
  <c r="J126" i="39"/>
  <c r="I126" i="39"/>
  <c r="H126" i="39"/>
  <c r="G126" i="39"/>
  <c r="F126" i="39"/>
  <c r="E126" i="39"/>
  <c r="U125" i="39"/>
  <c r="Q125" i="39"/>
  <c r="P125" i="39"/>
  <c r="O125" i="39"/>
  <c r="N125" i="39"/>
  <c r="M125" i="39"/>
  <c r="L125" i="39"/>
  <c r="K125" i="39"/>
  <c r="J125" i="39"/>
  <c r="I125" i="39"/>
  <c r="H125" i="39"/>
  <c r="G125" i="39"/>
  <c r="F125" i="39"/>
  <c r="E125" i="39"/>
  <c r="D125" i="39"/>
  <c r="C125" i="39"/>
  <c r="U124" i="39"/>
  <c r="Q124" i="39"/>
  <c r="P124" i="39"/>
  <c r="P123" i="39" s="1"/>
  <c r="O124" i="39"/>
  <c r="N124" i="39"/>
  <c r="M124" i="39"/>
  <c r="M123" i="39" s="1"/>
  <c r="L124" i="39"/>
  <c r="K124" i="39"/>
  <c r="J124" i="39"/>
  <c r="I124" i="39"/>
  <c r="I123" i="39" s="1"/>
  <c r="H124" i="39"/>
  <c r="H123" i="39" s="1"/>
  <c r="G124" i="39"/>
  <c r="F124" i="39"/>
  <c r="E124" i="39"/>
  <c r="E123" i="39" s="1"/>
  <c r="D124" i="39"/>
  <c r="C124" i="39"/>
  <c r="U121" i="39"/>
  <c r="Q121" i="39"/>
  <c r="P121" i="39"/>
  <c r="O121" i="39"/>
  <c r="N121" i="39"/>
  <c r="M121" i="39"/>
  <c r="L121" i="39"/>
  <c r="K121" i="39"/>
  <c r="J121" i="39"/>
  <c r="I121" i="39"/>
  <c r="H121" i="39"/>
  <c r="G121" i="39"/>
  <c r="F121" i="39"/>
  <c r="E121" i="39"/>
  <c r="D121" i="39"/>
  <c r="C121" i="39"/>
  <c r="U120" i="39"/>
  <c r="Q120" i="39"/>
  <c r="P120" i="39"/>
  <c r="O120" i="39"/>
  <c r="U119" i="39"/>
  <c r="Q119" i="39"/>
  <c r="P119" i="39"/>
  <c r="O119" i="39"/>
  <c r="N119" i="39"/>
  <c r="M119" i="39"/>
  <c r="L119" i="39"/>
  <c r="K119" i="39"/>
  <c r="J119" i="39"/>
  <c r="I119" i="39"/>
  <c r="H119" i="39"/>
  <c r="G119" i="39"/>
  <c r="F119" i="39"/>
  <c r="E119" i="39"/>
  <c r="D119" i="39"/>
  <c r="C119" i="39"/>
  <c r="U118" i="39"/>
  <c r="Q118" i="39"/>
  <c r="P118" i="39"/>
  <c r="O118" i="39"/>
  <c r="N118" i="39"/>
  <c r="M118" i="39"/>
  <c r="L118" i="39"/>
  <c r="K118" i="39"/>
  <c r="J118" i="39"/>
  <c r="I118" i="39"/>
  <c r="H118" i="39"/>
  <c r="G118" i="39"/>
  <c r="F118" i="39"/>
  <c r="E118" i="39"/>
  <c r="D118" i="39"/>
  <c r="C118" i="39"/>
  <c r="U117" i="39"/>
  <c r="Q117" i="39"/>
  <c r="P117" i="39"/>
  <c r="O117" i="39"/>
  <c r="N117" i="39"/>
  <c r="M117" i="39"/>
  <c r="L117" i="39"/>
  <c r="K117" i="39"/>
  <c r="J117" i="39"/>
  <c r="I117" i="39"/>
  <c r="H117" i="39"/>
  <c r="G117" i="39"/>
  <c r="F117" i="39"/>
  <c r="E117" i="39"/>
  <c r="D117" i="39"/>
  <c r="C117" i="39"/>
  <c r="U116" i="39"/>
  <c r="Q116" i="39"/>
  <c r="Q115" i="39" s="1"/>
  <c r="P116" i="39"/>
  <c r="P115" i="39" s="1"/>
  <c r="O116" i="39"/>
  <c r="N116" i="39"/>
  <c r="N115" i="39" s="1"/>
  <c r="M116" i="39"/>
  <c r="L116" i="39"/>
  <c r="L115" i="39" s="1"/>
  <c r="K116" i="39"/>
  <c r="K115" i="39" s="1"/>
  <c r="J116" i="39"/>
  <c r="J115" i="39" s="1"/>
  <c r="I116" i="39"/>
  <c r="I115" i="39" s="1"/>
  <c r="H116" i="39"/>
  <c r="G116" i="39"/>
  <c r="G115" i="39" s="1"/>
  <c r="F116" i="39"/>
  <c r="F115" i="39" s="1"/>
  <c r="E116" i="39"/>
  <c r="E115" i="39" s="1"/>
  <c r="D116" i="39"/>
  <c r="D115" i="39" s="1"/>
  <c r="C116" i="39"/>
  <c r="C115" i="39" s="1"/>
  <c r="O115" i="39"/>
  <c r="M115" i="39"/>
  <c r="U114" i="39"/>
  <c r="Q114" i="39"/>
  <c r="P114" i="39"/>
  <c r="O114" i="39"/>
  <c r="N114" i="39"/>
  <c r="M114" i="39"/>
  <c r="L114" i="39"/>
  <c r="K114" i="39"/>
  <c r="J114" i="39"/>
  <c r="I114" i="39"/>
  <c r="H114" i="39"/>
  <c r="G114" i="39"/>
  <c r="F114" i="39"/>
  <c r="E114" i="39"/>
  <c r="D114" i="39"/>
  <c r="C114" i="39"/>
  <c r="U113" i="39"/>
  <c r="Q113" i="39"/>
  <c r="P113" i="39"/>
  <c r="O113" i="39"/>
  <c r="N113" i="39"/>
  <c r="M113" i="39"/>
  <c r="L113" i="39"/>
  <c r="K113" i="39"/>
  <c r="J113" i="39"/>
  <c r="I113" i="39"/>
  <c r="H113" i="39"/>
  <c r="G113" i="39"/>
  <c r="F113" i="39"/>
  <c r="E113" i="39"/>
  <c r="D113" i="39"/>
  <c r="C113" i="39"/>
  <c r="U112" i="39"/>
  <c r="Q112" i="39"/>
  <c r="P112" i="39"/>
  <c r="P111" i="39" s="1"/>
  <c r="O112" i="39"/>
  <c r="O111" i="39" s="1"/>
  <c r="N112" i="39"/>
  <c r="N111" i="39" s="1"/>
  <c r="M112" i="39"/>
  <c r="M111" i="39" s="1"/>
  <c r="L112" i="39"/>
  <c r="L111" i="39" s="1"/>
  <c r="K112" i="39"/>
  <c r="J112" i="39"/>
  <c r="J111" i="39" s="1"/>
  <c r="I112" i="39"/>
  <c r="I111" i="39" s="1"/>
  <c r="H112" i="39"/>
  <c r="G112" i="39"/>
  <c r="G111" i="39" s="1"/>
  <c r="F112" i="39"/>
  <c r="F111" i="39" s="1"/>
  <c r="E112" i="39"/>
  <c r="E111" i="39" s="1"/>
  <c r="D112" i="39"/>
  <c r="D111" i="39" s="1"/>
  <c r="C112" i="39"/>
  <c r="Q111" i="39"/>
  <c r="K111" i="39"/>
  <c r="H111" i="39"/>
  <c r="C111" i="39"/>
  <c r="U110" i="39"/>
  <c r="Q110" i="39"/>
  <c r="P110" i="39"/>
  <c r="O110" i="39"/>
  <c r="N110" i="39"/>
  <c r="M110" i="39"/>
  <c r="L110" i="39"/>
  <c r="K110" i="39"/>
  <c r="J110" i="39"/>
  <c r="I110" i="39"/>
  <c r="H110" i="39"/>
  <c r="G110" i="39"/>
  <c r="F110" i="39"/>
  <c r="E110" i="39"/>
  <c r="D110" i="39"/>
  <c r="C110" i="39"/>
  <c r="U109" i="39"/>
  <c r="Q109" i="39"/>
  <c r="P109" i="39"/>
  <c r="O109" i="39"/>
  <c r="N109" i="39"/>
  <c r="M109" i="39"/>
  <c r="L109" i="39"/>
  <c r="K109" i="39"/>
  <c r="J109" i="39"/>
  <c r="I109" i="39"/>
  <c r="H109" i="39"/>
  <c r="G109" i="39"/>
  <c r="F109" i="39"/>
  <c r="E109" i="39"/>
  <c r="D109" i="39"/>
  <c r="C109" i="39"/>
  <c r="U108" i="39"/>
  <c r="Q108" i="39"/>
  <c r="P108" i="39"/>
  <c r="O108" i="39"/>
  <c r="N108" i="39"/>
  <c r="M108" i="39"/>
  <c r="L108" i="39"/>
  <c r="K108" i="39"/>
  <c r="J108" i="39"/>
  <c r="I108" i="39"/>
  <c r="H108" i="39"/>
  <c r="G108" i="39"/>
  <c r="F108" i="39"/>
  <c r="E108" i="39"/>
  <c r="D108" i="39"/>
  <c r="C108" i="39"/>
  <c r="U107" i="39"/>
  <c r="Q107" i="39"/>
  <c r="P107" i="39"/>
  <c r="O107" i="39"/>
  <c r="N107" i="39"/>
  <c r="M107" i="39"/>
  <c r="L107" i="39"/>
  <c r="K107" i="39"/>
  <c r="J107" i="39"/>
  <c r="I107" i="39"/>
  <c r="H107" i="39"/>
  <c r="G107" i="39"/>
  <c r="F107" i="39"/>
  <c r="E107" i="39"/>
  <c r="D107" i="39"/>
  <c r="C107" i="39"/>
  <c r="U106" i="39"/>
  <c r="Q106" i="39"/>
  <c r="P106" i="39"/>
  <c r="O106" i="39"/>
  <c r="N106" i="39"/>
  <c r="M106" i="39"/>
  <c r="L106" i="39"/>
  <c r="K106" i="39"/>
  <c r="J106" i="39"/>
  <c r="I106" i="39"/>
  <c r="H106" i="39"/>
  <c r="G106" i="39"/>
  <c r="F106" i="39"/>
  <c r="E106" i="39"/>
  <c r="D106" i="39"/>
  <c r="C106" i="39"/>
  <c r="U104" i="39"/>
  <c r="Q104" i="39"/>
  <c r="P104" i="39"/>
  <c r="O104" i="39"/>
  <c r="N104" i="39"/>
  <c r="M104" i="39"/>
  <c r="L104" i="39"/>
  <c r="K104" i="39"/>
  <c r="J104" i="39"/>
  <c r="I104" i="39"/>
  <c r="H104" i="39"/>
  <c r="G104" i="39"/>
  <c r="F104" i="39"/>
  <c r="E104" i="39"/>
  <c r="D104" i="39"/>
  <c r="C104" i="39"/>
  <c r="U103" i="39"/>
  <c r="Q103" i="39"/>
  <c r="P103" i="39"/>
  <c r="O103" i="39"/>
  <c r="N103" i="39"/>
  <c r="M103" i="39"/>
  <c r="L103" i="39"/>
  <c r="K103" i="39"/>
  <c r="J103" i="39"/>
  <c r="I103" i="39"/>
  <c r="H103" i="39"/>
  <c r="G103" i="39"/>
  <c r="F103" i="39"/>
  <c r="E103" i="39"/>
  <c r="D103" i="39"/>
  <c r="C103" i="39"/>
  <c r="U102" i="39"/>
  <c r="Q102" i="39"/>
  <c r="P102" i="39"/>
  <c r="O102" i="39"/>
  <c r="N102" i="39"/>
  <c r="M102" i="39"/>
  <c r="L102" i="39"/>
  <c r="K102" i="39"/>
  <c r="J102" i="39"/>
  <c r="I102" i="39"/>
  <c r="H102" i="39"/>
  <c r="G102" i="39"/>
  <c r="F102" i="39"/>
  <c r="E102" i="39"/>
  <c r="D102" i="39"/>
  <c r="C102" i="39"/>
  <c r="U101" i="39"/>
  <c r="Q101" i="39"/>
  <c r="P101" i="39"/>
  <c r="O101" i="39"/>
  <c r="N101" i="39"/>
  <c r="M101" i="39"/>
  <c r="L101" i="39"/>
  <c r="K101" i="39"/>
  <c r="J101" i="39"/>
  <c r="I101" i="39"/>
  <c r="H101" i="39"/>
  <c r="G101" i="39"/>
  <c r="F101" i="39"/>
  <c r="E101" i="39"/>
  <c r="D101" i="39"/>
  <c r="C101" i="39"/>
  <c r="U100" i="39"/>
  <c r="Q100" i="39"/>
  <c r="P100" i="39"/>
  <c r="O100" i="39"/>
  <c r="N100" i="39"/>
  <c r="M100" i="39"/>
  <c r="L100" i="39"/>
  <c r="K100" i="39"/>
  <c r="J100" i="39"/>
  <c r="I100" i="39"/>
  <c r="H100" i="39"/>
  <c r="G100" i="39"/>
  <c r="F100" i="39"/>
  <c r="E100" i="39"/>
  <c r="D100" i="39"/>
  <c r="C100" i="39"/>
  <c r="U99" i="39"/>
  <c r="Q99" i="39"/>
  <c r="P99" i="39"/>
  <c r="O99" i="39"/>
  <c r="N99" i="39"/>
  <c r="M99" i="39"/>
  <c r="L99" i="39"/>
  <c r="K99" i="39"/>
  <c r="J99" i="39"/>
  <c r="I99" i="39"/>
  <c r="H99" i="39"/>
  <c r="G99" i="39"/>
  <c r="F99" i="39"/>
  <c r="E99" i="39"/>
  <c r="D99" i="39"/>
  <c r="C99" i="39"/>
  <c r="U98" i="39"/>
  <c r="Q98" i="39"/>
  <c r="P98" i="39"/>
  <c r="O98" i="39"/>
  <c r="N98" i="39"/>
  <c r="M98" i="39"/>
  <c r="L98" i="39"/>
  <c r="K98" i="39"/>
  <c r="J98" i="39"/>
  <c r="I98" i="39"/>
  <c r="H98" i="39"/>
  <c r="G98" i="39"/>
  <c r="F98" i="39"/>
  <c r="E98" i="39"/>
  <c r="D98" i="39"/>
  <c r="C98" i="39"/>
  <c r="U97" i="39"/>
  <c r="Q97" i="39"/>
  <c r="P97" i="39"/>
  <c r="O97" i="39"/>
  <c r="N97" i="39"/>
  <c r="M97" i="39"/>
  <c r="L97" i="39"/>
  <c r="K97" i="39"/>
  <c r="J97" i="39"/>
  <c r="I97" i="39"/>
  <c r="H97" i="39"/>
  <c r="G97" i="39"/>
  <c r="F97" i="39"/>
  <c r="E97" i="39"/>
  <c r="D97" i="39"/>
  <c r="C97" i="39"/>
  <c r="U96" i="39"/>
  <c r="Q96" i="39"/>
  <c r="Q95" i="39" s="1"/>
  <c r="P96" i="39"/>
  <c r="P95" i="39" s="1"/>
  <c r="O96" i="39"/>
  <c r="N96" i="39"/>
  <c r="M96" i="39"/>
  <c r="L96" i="39"/>
  <c r="K96" i="39"/>
  <c r="K95" i="39" s="1"/>
  <c r="J96" i="39"/>
  <c r="J95" i="39" s="1"/>
  <c r="I96" i="39"/>
  <c r="H96" i="39"/>
  <c r="G96" i="39"/>
  <c r="G95" i="39" s="1"/>
  <c r="F96" i="39"/>
  <c r="F95" i="39" s="1"/>
  <c r="E96" i="39"/>
  <c r="D96" i="39"/>
  <c r="C96" i="39"/>
  <c r="C95" i="39" s="1"/>
  <c r="O95" i="39"/>
  <c r="N95" i="39"/>
  <c r="M95" i="39"/>
  <c r="L95" i="39"/>
  <c r="I95" i="39"/>
  <c r="H95" i="39"/>
  <c r="E95" i="39"/>
  <c r="D95" i="39"/>
  <c r="U94" i="39"/>
  <c r="U93" i="39" s="1"/>
  <c r="Q94" i="39"/>
  <c r="Q93" i="39" s="1"/>
  <c r="P94" i="39"/>
  <c r="P93" i="39" s="1"/>
  <c r="O94" i="39"/>
  <c r="O93" i="39" s="1"/>
  <c r="N94" i="39"/>
  <c r="M94" i="39"/>
  <c r="M93" i="39" s="1"/>
  <c r="L94" i="39"/>
  <c r="L93" i="39" s="1"/>
  <c r="K94" i="39"/>
  <c r="J94" i="39"/>
  <c r="I94" i="39"/>
  <c r="I93" i="39" s="1"/>
  <c r="H94" i="39"/>
  <c r="H93" i="39" s="1"/>
  <c r="G94" i="39"/>
  <c r="G93" i="39" s="1"/>
  <c r="F94" i="39"/>
  <c r="E94" i="39"/>
  <c r="E93" i="39" s="1"/>
  <c r="D94" i="39"/>
  <c r="D93" i="39" s="1"/>
  <c r="C94" i="39"/>
  <c r="C93" i="39" s="1"/>
  <c r="N93" i="39"/>
  <c r="K93" i="39"/>
  <c r="J93" i="39"/>
  <c r="F93" i="39"/>
  <c r="U92" i="39"/>
  <c r="U91" i="39" s="1"/>
  <c r="Q92" i="39"/>
  <c r="Q91" i="39" s="1"/>
  <c r="P92" i="39"/>
  <c r="P91" i="39" s="1"/>
  <c r="O92" i="39"/>
  <c r="O91" i="39" s="1"/>
  <c r="N92" i="39"/>
  <c r="M92" i="39"/>
  <c r="M91" i="39" s="1"/>
  <c r="L92" i="39"/>
  <c r="L91" i="39" s="1"/>
  <c r="K92" i="39"/>
  <c r="K91" i="39" s="1"/>
  <c r="J92" i="39"/>
  <c r="J91" i="39" s="1"/>
  <c r="I92" i="39"/>
  <c r="I91" i="39" s="1"/>
  <c r="H92" i="39"/>
  <c r="H91" i="39" s="1"/>
  <c r="G92" i="39"/>
  <c r="G91" i="39" s="1"/>
  <c r="F92" i="39"/>
  <c r="F91" i="39" s="1"/>
  <c r="E92" i="39"/>
  <c r="E91" i="39" s="1"/>
  <c r="D92" i="39"/>
  <c r="D91" i="39" s="1"/>
  <c r="C92" i="39"/>
  <c r="C91" i="39" s="1"/>
  <c r="N91" i="39"/>
  <c r="D41" i="39"/>
  <c r="C41" i="39"/>
  <c r="C126" i="39" s="1"/>
  <c r="C123" i="39" s="1"/>
  <c r="U38" i="39"/>
  <c r="Q38" i="39"/>
  <c r="P38" i="39"/>
  <c r="O38" i="39"/>
  <c r="N38" i="39"/>
  <c r="M38" i="39"/>
  <c r="L38" i="39"/>
  <c r="K38" i="39"/>
  <c r="J38" i="39"/>
  <c r="I38" i="39"/>
  <c r="H38" i="39"/>
  <c r="G38" i="39"/>
  <c r="F38" i="39"/>
  <c r="E38" i="39"/>
  <c r="D38" i="39"/>
  <c r="C38" i="39"/>
  <c r="U30" i="39"/>
  <c r="Q30" i="39"/>
  <c r="P30" i="39"/>
  <c r="O30" i="39"/>
  <c r="N30" i="39"/>
  <c r="M30" i="39"/>
  <c r="L30" i="39"/>
  <c r="K30" i="39"/>
  <c r="J30" i="39"/>
  <c r="I30" i="39"/>
  <c r="H30" i="39"/>
  <c r="G30" i="39"/>
  <c r="F30" i="39"/>
  <c r="E30" i="39"/>
  <c r="D30" i="39"/>
  <c r="C30" i="39"/>
  <c r="U26" i="39"/>
  <c r="Q26" i="39"/>
  <c r="P26" i="39"/>
  <c r="O26" i="39"/>
  <c r="N26" i="39"/>
  <c r="M26" i="39"/>
  <c r="L26" i="39"/>
  <c r="K26" i="39"/>
  <c r="J26" i="39"/>
  <c r="I26" i="39"/>
  <c r="H26" i="39"/>
  <c r="G26" i="39"/>
  <c r="F26" i="39"/>
  <c r="E26" i="39"/>
  <c r="D26" i="39"/>
  <c r="C26" i="39"/>
  <c r="U10" i="39"/>
  <c r="Q10" i="39"/>
  <c r="P10" i="39"/>
  <c r="O10" i="39"/>
  <c r="N10" i="39"/>
  <c r="M10" i="39"/>
  <c r="L10" i="39"/>
  <c r="K10" i="39"/>
  <c r="J10" i="39"/>
  <c r="I10" i="39"/>
  <c r="H10" i="39"/>
  <c r="G10" i="39"/>
  <c r="F10" i="39"/>
  <c r="E10" i="39"/>
  <c r="D10" i="39"/>
  <c r="C10" i="39"/>
  <c r="U8" i="39"/>
  <c r="Q8" i="39"/>
  <c r="P8" i="39"/>
  <c r="O8" i="39"/>
  <c r="N8" i="39"/>
  <c r="M8" i="39"/>
  <c r="L8" i="39"/>
  <c r="K8" i="39"/>
  <c r="J8" i="39"/>
  <c r="I8" i="39"/>
  <c r="H8" i="39"/>
  <c r="G8" i="39"/>
  <c r="F8" i="39"/>
  <c r="E8" i="39"/>
  <c r="E37" i="39" s="1"/>
  <c r="E42" i="39" s="1"/>
  <c r="D8" i="39"/>
  <c r="C8" i="39"/>
  <c r="U6" i="39"/>
  <c r="Q6" i="39"/>
  <c r="Q37" i="39" s="1"/>
  <c r="Q42" i="39" s="1"/>
  <c r="P6" i="39"/>
  <c r="P37" i="39" s="1"/>
  <c r="P42" i="39" s="1"/>
  <c r="O6" i="39"/>
  <c r="O37" i="39" s="1"/>
  <c r="O42" i="39" s="1"/>
  <c r="N6" i="39"/>
  <c r="N37" i="39" s="1"/>
  <c r="N42" i="39" s="1"/>
  <c r="M6" i="39"/>
  <c r="M37" i="39" s="1"/>
  <c r="M42" i="39" s="1"/>
  <c r="L6" i="39"/>
  <c r="L37" i="39" s="1"/>
  <c r="L42" i="39" s="1"/>
  <c r="K6" i="39"/>
  <c r="K37" i="39" s="1"/>
  <c r="K42" i="39" s="1"/>
  <c r="J6" i="39"/>
  <c r="J37" i="39" s="1"/>
  <c r="J42" i="39" s="1"/>
  <c r="I6" i="39"/>
  <c r="I37" i="39" s="1"/>
  <c r="I42" i="39" s="1"/>
  <c r="H6" i="39"/>
  <c r="H37" i="39" s="1"/>
  <c r="H42" i="39" s="1"/>
  <c r="G6" i="39"/>
  <c r="G37" i="39" s="1"/>
  <c r="G42" i="39" s="1"/>
  <c r="G76" i="39" s="1"/>
  <c r="F6" i="39"/>
  <c r="F37" i="39" s="1"/>
  <c r="F42" i="39" s="1"/>
  <c r="D6" i="39"/>
  <c r="C6" i="39"/>
  <c r="C37" i="39" s="1"/>
  <c r="C42" i="39" s="1"/>
  <c r="C37" i="38"/>
  <c r="J18" i="38"/>
  <c r="I18" i="38"/>
  <c r="I17" i="38"/>
  <c r="I16" i="38"/>
  <c r="J15" i="38"/>
  <c r="I15" i="38"/>
  <c r="C15" i="38"/>
  <c r="J14" i="38"/>
  <c r="I14" i="38"/>
  <c r="J13" i="38"/>
  <c r="I13" i="38"/>
  <c r="J12" i="38"/>
  <c r="I12" i="38"/>
  <c r="J11" i="38"/>
  <c r="I11" i="38"/>
  <c r="H10" i="38"/>
  <c r="G10" i="38"/>
  <c r="F10" i="38"/>
  <c r="E10" i="38"/>
  <c r="D10" i="38"/>
  <c r="C10" i="38"/>
  <c r="J9" i="38"/>
  <c r="I9" i="38"/>
  <c r="J8" i="38"/>
  <c r="I8" i="38"/>
  <c r="J7" i="38"/>
  <c r="I7" i="38"/>
  <c r="J6" i="38"/>
  <c r="I6" i="38"/>
  <c r="H5" i="38"/>
  <c r="G5" i="38"/>
  <c r="F5" i="38"/>
  <c r="F20" i="38" s="1"/>
  <c r="E5" i="38"/>
  <c r="D5" i="38"/>
  <c r="C5" i="38"/>
  <c r="C29" i="38" s="1"/>
  <c r="C35" i="40" l="1"/>
  <c r="C51" i="40" s="1"/>
  <c r="F123" i="39"/>
  <c r="J123" i="39"/>
  <c r="N123" i="39"/>
  <c r="G123" i="39"/>
  <c r="K123" i="39"/>
  <c r="O122" i="39"/>
  <c r="Q123" i="39"/>
  <c r="U95" i="39"/>
  <c r="U115" i="39"/>
  <c r="F35" i="40"/>
  <c r="F51" i="40" s="1"/>
  <c r="N122" i="39"/>
  <c r="N127" i="39" s="1"/>
  <c r="L123" i="39"/>
  <c r="Q122" i="39"/>
  <c r="Q127" i="39" s="1"/>
  <c r="I24" i="40"/>
  <c r="I122" i="39"/>
  <c r="M122" i="39"/>
  <c r="M127" i="39" s="1"/>
  <c r="K122" i="39"/>
  <c r="J122" i="39"/>
  <c r="J127" i="39" s="1"/>
  <c r="U123" i="39"/>
  <c r="U111" i="39"/>
  <c r="O123" i="39"/>
  <c r="O127" i="39" s="1"/>
  <c r="U37" i="39"/>
  <c r="U42" i="39" s="1"/>
  <c r="U63" i="39" s="1"/>
  <c r="J24" i="40"/>
  <c r="D37" i="39"/>
  <c r="D42" i="39" s="1"/>
  <c r="F122" i="39"/>
  <c r="F127" i="39" s="1"/>
  <c r="D122" i="39"/>
  <c r="L122" i="39"/>
  <c r="L127" i="39" s="1"/>
  <c r="P122" i="39"/>
  <c r="P127" i="39" s="1"/>
  <c r="H115" i="39"/>
  <c r="H122" i="39" s="1"/>
  <c r="H127" i="39" s="1"/>
  <c r="K127" i="39"/>
  <c r="E122" i="39"/>
  <c r="E127" i="39" s="1"/>
  <c r="I127" i="39"/>
  <c r="H35" i="40"/>
  <c r="H51" i="40" s="1"/>
  <c r="J8" i="40"/>
  <c r="G35" i="40"/>
  <c r="G51" i="40" s="1"/>
  <c r="I8" i="40"/>
  <c r="G20" i="38"/>
  <c r="H20" i="38"/>
  <c r="J10" i="38"/>
  <c r="J5" i="38"/>
  <c r="J28" i="40"/>
  <c r="I28" i="40"/>
  <c r="J84" i="39"/>
  <c r="J83" i="39"/>
  <c r="J82" i="39"/>
  <c r="J79" i="39"/>
  <c r="J77" i="39"/>
  <c r="J76" i="39"/>
  <c r="J75" i="39"/>
  <c r="J74" i="39"/>
  <c r="J72" i="39"/>
  <c r="J71" i="39"/>
  <c r="J70" i="39"/>
  <c r="J68" i="39"/>
  <c r="J67" i="39"/>
  <c r="J66" i="39"/>
  <c r="J65" i="39"/>
  <c r="J64" i="39"/>
  <c r="J62" i="39"/>
  <c r="J54" i="39"/>
  <c r="J61" i="39"/>
  <c r="J60" i="39"/>
  <c r="J59" i="39"/>
  <c r="J58" i="39"/>
  <c r="J57" i="39"/>
  <c r="J56" i="39"/>
  <c r="J55" i="39"/>
  <c r="J52" i="39"/>
  <c r="J51" i="39" s="1"/>
  <c r="J50" i="39"/>
  <c r="J49" i="39" s="1"/>
  <c r="K77" i="39"/>
  <c r="K76" i="39"/>
  <c r="K75" i="39"/>
  <c r="K74" i="39"/>
  <c r="K72" i="39"/>
  <c r="K71" i="39"/>
  <c r="K70" i="39"/>
  <c r="K68" i="39"/>
  <c r="K67" i="39"/>
  <c r="K66" i="39"/>
  <c r="K65" i="39"/>
  <c r="K64" i="39"/>
  <c r="K62" i="39"/>
  <c r="K61" i="39"/>
  <c r="K60" i="39"/>
  <c r="K59" i="39"/>
  <c r="K58" i="39"/>
  <c r="K57" i="39"/>
  <c r="K56" i="39"/>
  <c r="K55" i="39"/>
  <c r="K54" i="39"/>
  <c r="K52" i="39"/>
  <c r="K51" i="39" s="1"/>
  <c r="K50" i="39"/>
  <c r="K49" i="39" s="1"/>
  <c r="K83" i="39"/>
  <c r="K79" i="39"/>
  <c r="K84" i="39"/>
  <c r="K82" i="39"/>
  <c r="N84" i="39"/>
  <c r="N83" i="39"/>
  <c r="N82" i="39"/>
  <c r="N79" i="39"/>
  <c r="N77" i="39"/>
  <c r="N76" i="39"/>
  <c r="N75" i="39"/>
  <c r="N74" i="39"/>
  <c r="N72" i="39"/>
  <c r="N71" i="39"/>
  <c r="N70" i="39"/>
  <c r="N68" i="39"/>
  <c r="N67" i="39"/>
  <c r="N66" i="39"/>
  <c r="N60" i="39"/>
  <c r="N59" i="39"/>
  <c r="N58" i="39"/>
  <c r="N57" i="39"/>
  <c r="N56" i="39"/>
  <c r="N55" i="39"/>
  <c r="N52" i="39"/>
  <c r="N51" i="39" s="1"/>
  <c r="N65" i="39"/>
  <c r="N64" i="39"/>
  <c r="N62" i="39"/>
  <c r="N61" i="39"/>
  <c r="N54" i="39"/>
  <c r="N50" i="39"/>
  <c r="N49" i="39" s="1"/>
  <c r="C77" i="39"/>
  <c r="C76" i="39"/>
  <c r="C75" i="39"/>
  <c r="C74" i="39"/>
  <c r="C72" i="39"/>
  <c r="C71" i="39"/>
  <c r="C70" i="39"/>
  <c r="C68" i="39"/>
  <c r="C67" i="39"/>
  <c r="C66" i="39"/>
  <c r="C65" i="39"/>
  <c r="C64" i="39"/>
  <c r="C62" i="39"/>
  <c r="C61" i="39"/>
  <c r="C60" i="39"/>
  <c r="C59" i="39"/>
  <c r="C58" i="39"/>
  <c r="C57" i="39"/>
  <c r="C56" i="39"/>
  <c r="C55" i="39"/>
  <c r="C54" i="39"/>
  <c r="C52" i="39"/>
  <c r="C51" i="39" s="1"/>
  <c r="C50" i="39"/>
  <c r="C49" i="39" s="1"/>
  <c r="C84" i="39"/>
  <c r="C82" i="39"/>
  <c r="C83" i="39"/>
  <c r="C79" i="39"/>
  <c r="L77" i="39"/>
  <c r="L76" i="39"/>
  <c r="L75" i="39"/>
  <c r="L74" i="39"/>
  <c r="L72" i="39"/>
  <c r="L71" i="39"/>
  <c r="L70" i="39"/>
  <c r="L68" i="39"/>
  <c r="L67" i="39"/>
  <c r="L66" i="39"/>
  <c r="L65" i="39"/>
  <c r="L64" i="39"/>
  <c r="L62" i="39"/>
  <c r="L61" i="39"/>
  <c r="L60" i="39"/>
  <c r="L59" i="39"/>
  <c r="L58" i="39"/>
  <c r="L57" i="39"/>
  <c r="L56" i="39"/>
  <c r="L55" i="39"/>
  <c r="L54" i="39"/>
  <c r="L52" i="39"/>
  <c r="L51" i="39" s="1"/>
  <c r="L50" i="39"/>
  <c r="L49" i="39" s="1"/>
  <c r="L84" i="39"/>
  <c r="L83" i="39"/>
  <c r="L82" i="39"/>
  <c r="L79" i="39"/>
  <c r="D77" i="39"/>
  <c r="D76" i="39"/>
  <c r="D75" i="39"/>
  <c r="D74" i="39"/>
  <c r="D72" i="39"/>
  <c r="D71" i="39"/>
  <c r="D70" i="39"/>
  <c r="D68" i="39"/>
  <c r="D67" i="39"/>
  <c r="D66" i="39"/>
  <c r="D65" i="39"/>
  <c r="D64" i="39"/>
  <c r="D62" i="39"/>
  <c r="D61" i="39"/>
  <c r="D60" i="39"/>
  <c r="D59" i="39"/>
  <c r="D58" i="39"/>
  <c r="D57" i="39"/>
  <c r="D56" i="39"/>
  <c r="D55" i="39"/>
  <c r="D54" i="39"/>
  <c r="D52" i="39"/>
  <c r="D51" i="39" s="1"/>
  <c r="D50" i="39"/>
  <c r="D49" i="39" s="1"/>
  <c r="D83" i="39"/>
  <c r="D82" i="39"/>
  <c r="D79" i="39"/>
  <c r="F84" i="39"/>
  <c r="F83" i="39"/>
  <c r="F82" i="39"/>
  <c r="F79" i="39"/>
  <c r="F77" i="39"/>
  <c r="F76" i="39"/>
  <c r="F75" i="39"/>
  <c r="F74" i="39"/>
  <c r="F72" i="39"/>
  <c r="F71" i="39"/>
  <c r="F70" i="39"/>
  <c r="F68" i="39"/>
  <c r="F67" i="39"/>
  <c r="F66" i="39"/>
  <c r="F61" i="39"/>
  <c r="F60" i="39"/>
  <c r="F59" i="39"/>
  <c r="F58" i="39"/>
  <c r="F57" i="39"/>
  <c r="F56" i="39"/>
  <c r="F52" i="39"/>
  <c r="F51" i="39" s="1"/>
  <c r="F65" i="39"/>
  <c r="F64" i="39"/>
  <c r="F62" i="39"/>
  <c r="F55" i="39"/>
  <c r="F54" i="39"/>
  <c r="F50" i="39"/>
  <c r="F49" i="39" s="1"/>
  <c r="I84" i="39"/>
  <c r="I83" i="39"/>
  <c r="I82" i="39"/>
  <c r="I79" i="39"/>
  <c r="I77" i="39"/>
  <c r="I76" i="39"/>
  <c r="I75" i="39"/>
  <c r="I74" i="39"/>
  <c r="I72" i="39"/>
  <c r="I71" i="39"/>
  <c r="I70" i="39"/>
  <c r="I68" i="39"/>
  <c r="I67" i="39"/>
  <c r="I66" i="39"/>
  <c r="I65" i="39"/>
  <c r="I64" i="39"/>
  <c r="I62" i="39"/>
  <c r="I61" i="39"/>
  <c r="I60" i="39"/>
  <c r="I59" i="39"/>
  <c r="I58" i="39"/>
  <c r="I57" i="39"/>
  <c r="I56" i="39"/>
  <c r="I55" i="39"/>
  <c r="I54" i="39"/>
  <c r="I52" i="39"/>
  <c r="I51" i="39" s="1"/>
  <c r="I50" i="39"/>
  <c r="I49" i="39" s="1"/>
  <c r="M84" i="39"/>
  <c r="M83" i="39"/>
  <c r="M82" i="39"/>
  <c r="M79" i="39"/>
  <c r="M77" i="39"/>
  <c r="M76" i="39"/>
  <c r="M75" i="39"/>
  <c r="M74" i="39"/>
  <c r="M72" i="39"/>
  <c r="M71" i="39"/>
  <c r="M70" i="39"/>
  <c r="M68" i="39"/>
  <c r="M67" i="39"/>
  <c r="M66" i="39"/>
  <c r="M65" i="39"/>
  <c r="M61" i="39"/>
  <c r="M60" i="39"/>
  <c r="M59" i="39"/>
  <c r="M58" i="39"/>
  <c r="M57" i="39"/>
  <c r="M50" i="39"/>
  <c r="M49" i="39" s="1"/>
  <c r="M64" i="39"/>
  <c r="M56" i="39"/>
  <c r="M54" i="39"/>
  <c r="M62" i="39"/>
  <c r="M55" i="39"/>
  <c r="M52" i="39"/>
  <c r="M51" i="39" s="1"/>
  <c r="Q84" i="39"/>
  <c r="Q83" i="39"/>
  <c r="Q82" i="39"/>
  <c r="Q79" i="39"/>
  <c r="Q78" i="39"/>
  <c r="Q77" i="39"/>
  <c r="Q76" i="39"/>
  <c r="Q75" i="39"/>
  <c r="Q74" i="39"/>
  <c r="Q72" i="39"/>
  <c r="Q71" i="39"/>
  <c r="Q70" i="39"/>
  <c r="Q68" i="39"/>
  <c r="Q67" i="39"/>
  <c r="Q66" i="39"/>
  <c r="Q61" i="39"/>
  <c r="Q56" i="39"/>
  <c r="Q54" i="39"/>
  <c r="Q52" i="39"/>
  <c r="Q51" i="39" s="1"/>
  <c r="Q50" i="39"/>
  <c r="Q49" i="39" s="1"/>
  <c r="Q65" i="39"/>
  <c r="Q64" i="39"/>
  <c r="Q62" i="39"/>
  <c r="Q60" i="39"/>
  <c r="Q59" i="39"/>
  <c r="Q58" i="39"/>
  <c r="Q57" i="39"/>
  <c r="Q55" i="39"/>
  <c r="E84" i="39"/>
  <c r="E83" i="39"/>
  <c r="E82" i="39"/>
  <c r="E79" i="39"/>
  <c r="E77" i="39"/>
  <c r="E76" i="39"/>
  <c r="E75" i="39"/>
  <c r="E74" i="39"/>
  <c r="E72" i="39"/>
  <c r="E71" i="39"/>
  <c r="E70" i="39"/>
  <c r="E68" i="39"/>
  <c r="E67" i="39"/>
  <c r="E66" i="39"/>
  <c r="E65" i="39"/>
  <c r="E64" i="39"/>
  <c r="E62" i="39"/>
  <c r="E61" i="39"/>
  <c r="E60" i="39"/>
  <c r="E59" i="39"/>
  <c r="E58" i="39"/>
  <c r="E57" i="39"/>
  <c r="E56" i="39"/>
  <c r="E55" i="39"/>
  <c r="E54" i="39"/>
  <c r="E52" i="39"/>
  <c r="E51" i="39" s="1"/>
  <c r="E50" i="39"/>
  <c r="E49" i="39" s="1"/>
  <c r="C122" i="39"/>
  <c r="C127" i="39" s="1"/>
  <c r="O84" i="39"/>
  <c r="O83" i="39"/>
  <c r="O82" i="39"/>
  <c r="O79" i="39"/>
  <c r="O78" i="39"/>
  <c r="O65" i="39"/>
  <c r="O64" i="39"/>
  <c r="O62" i="39"/>
  <c r="O61" i="39"/>
  <c r="O60" i="39"/>
  <c r="O59" i="39"/>
  <c r="O58" i="39"/>
  <c r="O57" i="39"/>
  <c r="O56" i="39"/>
  <c r="O55" i="39"/>
  <c r="O54" i="39"/>
  <c r="O52" i="39"/>
  <c r="O51" i="39" s="1"/>
  <c r="O50" i="39"/>
  <c r="O49" i="39" s="1"/>
  <c r="H84" i="39"/>
  <c r="H83" i="39"/>
  <c r="H82" i="39"/>
  <c r="H79" i="39"/>
  <c r="H65" i="39"/>
  <c r="H64" i="39"/>
  <c r="H62" i="39"/>
  <c r="H61" i="39"/>
  <c r="H60" i="39"/>
  <c r="H59" i="39"/>
  <c r="H58" i="39"/>
  <c r="H57" i="39"/>
  <c r="H56" i="39"/>
  <c r="H55" i="39"/>
  <c r="H54" i="39"/>
  <c r="H52" i="39"/>
  <c r="H51" i="39" s="1"/>
  <c r="H50" i="39"/>
  <c r="H49" i="39" s="1"/>
  <c r="H76" i="39"/>
  <c r="H75" i="39"/>
  <c r="H74" i="39"/>
  <c r="H72" i="39"/>
  <c r="H71" i="39"/>
  <c r="H70" i="39"/>
  <c r="H77" i="39"/>
  <c r="H68" i="39"/>
  <c r="H67" i="39"/>
  <c r="H66" i="39"/>
  <c r="O67" i="39"/>
  <c r="O71" i="39"/>
  <c r="O75" i="39"/>
  <c r="O77" i="39"/>
  <c r="G66" i="39"/>
  <c r="G68" i="39"/>
  <c r="G70" i="39"/>
  <c r="G72" i="39"/>
  <c r="G74" i="39"/>
  <c r="P84" i="39"/>
  <c r="P83" i="39"/>
  <c r="P82" i="39"/>
  <c r="P79" i="39"/>
  <c r="P78" i="39"/>
  <c r="P65" i="39"/>
  <c r="P64" i="39"/>
  <c r="P62" i="39"/>
  <c r="P61" i="39"/>
  <c r="P60" i="39"/>
  <c r="P59" i="39"/>
  <c r="P58" i="39"/>
  <c r="P57" i="39"/>
  <c r="P56" i="39"/>
  <c r="P55" i="39"/>
  <c r="P54" i="39"/>
  <c r="P52" i="39"/>
  <c r="P51" i="39" s="1"/>
  <c r="P50" i="39"/>
  <c r="P49" i="39" s="1"/>
  <c r="P77" i="39"/>
  <c r="P68" i="39"/>
  <c r="P67" i="39"/>
  <c r="P66" i="39"/>
  <c r="P76" i="39"/>
  <c r="P75" i="39"/>
  <c r="P74" i="39"/>
  <c r="P72" i="39"/>
  <c r="P71" i="39"/>
  <c r="P70" i="39"/>
  <c r="D126" i="39"/>
  <c r="D123" i="39" s="1"/>
  <c r="D84" i="39"/>
  <c r="O66" i="39"/>
  <c r="O68" i="39"/>
  <c r="O70" i="39"/>
  <c r="O72" i="39"/>
  <c r="O74" i="39"/>
  <c r="O76" i="39"/>
  <c r="G84" i="39"/>
  <c r="G83" i="39"/>
  <c r="G82" i="39"/>
  <c r="G79" i="39"/>
  <c r="G65" i="39"/>
  <c r="G64" i="39"/>
  <c r="G62" i="39"/>
  <c r="G61" i="39"/>
  <c r="G60" i="39"/>
  <c r="G59" i="39"/>
  <c r="G58" i="39"/>
  <c r="G57" i="39"/>
  <c r="G56" i="39"/>
  <c r="G55" i="39"/>
  <c r="G54" i="39"/>
  <c r="G52" i="39"/>
  <c r="G51" i="39" s="1"/>
  <c r="G50" i="39"/>
  <c r="G49" i="39" s="1"/>
  <c r="G67" i="39"/>
  <c r="G71" i="39"/>
  <c r="G75" i="39"/>
  <c r="G77" i="39"/>
  <c r="G122" i="39"/>
  <c r="G127" i="39" s="1"/>
  <c r="D20" i="38"/>
  <c r="I10" i="38"/>
  <c r="I5" i="38"/>
  <c r="E20" i="38"/>
  <c r="C20" i="38"/>
  <c r="O69" i="39" l="1"/>
  <c r="U122" i="39"/>
  <c r="U127" i="39" s="1"/>
  <c r="D127" i="39"/>
  <c r="U79" i="39"/>
  <c r="U83" i="39"/>
  <c r="U72" i="39"/>
  <c r="U62" i="39"/>
  <c r="U55" i="39"/>
  <c r="U66" i="39"/>
  <c r="U82" i="39"/>
  <c r="U71" i="39"/>
  <c r="U61" i="39"/>
  <c r="U52" i="39"/>
  <c r="U51" i="39" s="1"/>
  <c r="U76" i="39"/>
  <c r="U58" i="39"/>
  <c r="U77" i="39"/>
  <c r="U67" i="39"/>
  <c r="U59" i="39"/>
  <c r="U56" i="39"/>
  <c r="U60" i="39"/>
  <c r="U64" i="39"/>
  <c r="U68" i="39"/>
  <c r="U74" i="39"/>
  <c r="U78" i="39"/>
  <c r="U84" i="39"/>
  <c r="U50" i="39"/>
  <c r="U49" i="39" s="1"/>
  <c r="U57" i="39"/>
  <c r="U54" i="39"/>
  <c r="U65" i="39"/>
  <c r="U70" i="39"/>
  <c r="U75" i="39"/>
  <c r="G53" i="39"/>
  <c r="G81" i="39"/>
  <c r="O73" i="39"/>
  <c r="P81" i="39"/>
  <c r="I73" i="39"/>
  <c r="F69" i="39"/>
  <c r="F81" i="39"/>
  <c r="D81" i="39"/>
  <c r="D53" i="39"/>
  <c r="L73" i="39"/>
  <c r="C69" i="39"/>
  <c r="N53" i="39"/>
  <c r="K53" i="39"/>
  <c r="L69" i="39"/>
  <c r="J69" i="39"/>
  <c r="J81" i="39"/>
  <c r="I69" i="39"/>
  <c r="J35" i="40"/>
  <c r="J51" i="40"/>
  <c r="I51" i="40"/>
  <c r="I35" i="40"/>
  <c r="J20" i="38"/>
  <c r="Q53" i="39"/>
  <c r="G69" i="39"/>
  <c r="H69" i="39"/>
  <c r="H53" i="39"/>
  <c r="H81" i="39"/>
  <c r="E53" i="39"/>
  <c r="Q73" i="39"/>
  <c r="M53" i="39"/>
  <c r="M73" i="39"/>
  <c r="I81" i="39"/>
  <c r="F53" i="39"/>
  <c r="D73" i="39"/>
  <c r="K73" i="39"/>
  <c r="P73" i="39"/>
  <c r="O53" i="39"/>
  <c r="E73" i="39"/>
  <c r="Q69" i="39"/>
  <c r="M69" i="39"/>
  <c r="M81" i="39"/>
  <c r="D69" i="39"/>
  <c r="L81" i="39"/>
  <c r="C81" i="39"/>
  <c r="C53" i="39"/>
  <c r="N73" i="39"/>
  <c r="K81" i="39"/>
  <c r="K69" i="39"/>
  <c r="J53" i="39"/>
  <c r="H73" i="39"/>
  <c r="J73" i="39"/>
  <c r="P69" i="39"/>
  <c r="P53" i="39"/>
  <c r="G73" i="39"/>
  <c r="O81" i="39"/>
  <c r="E69" i="39"/>
  <c r="E80" i="39" s="1"/>
  <c r="E81" i="39"/>
  <c r="Q81" i="39"/>
  <c r="I53" i="39"/>
  <c r="F73" i="39"/>
  <c r="L53" i="39"/>
  <c r="L80" i="39" s="1"/>
  <c r="C73" i="39"/>
  <c r="N69" i="39"/>
  <c r="N80" i="39" s="1"/>
  <c r="N81" i="39"/>
  <c r="I20" i="38"/>
  <c r="D80" i="39" l="1"/>
  <c r="D85" i="39" s="1"/>
  <c r="O80" i="39"/>
  <c r="O85" i="39" s="1"/>
  <c r="G80" i="39"/>
  <c r="G85" i="39" s="1"/>
  <c r="K80" i="39"/>
  <c r="K85" i="39" s="1"/>
  <c r="Q80" i="39"/>
  <c r="U81" i="39"/>
  <c r="U69" i="39"/>
  <c r="U73" i="39"/>
  <c r="U53" i="39"/>
  <c r="L85" i="39"/>
  <c r="H80" i="39"/>
  <c r="H85" i="39" s="1"/>
  <c r="J80" i="39"/>
  <c r="J85" i="39" s="1"/>
  <c r="C80" i="39"/>
  <c r="C85" i="39" s="1"/>
  <c r="F80" i="39"/>
  <c r="F85" i="39" s="1"/>
  <c r="E85" i="39"/>
  <c r="P80" i="39"/>
  <c r="P85" i="39" s="1"/>
  <c r="I80" i="39"/>
  <c r="I85" i="39" s="1"/>
  <c r="M80" i="39"/>
  <c r="M85" i="39" s="1"/>
  <c r="Q85" i="39"/>
  <c r="N85" i="39"/>
  <c r="U80" i="39" l="1"/>
  <c r="U85" i="39" s="1"/>
  <c r="G12" i="37"/>
  <c r="F12" i="37"/>
  <c r="D12" i="37"/>
  <c r="C12" i="37"/>
  <c r="H11" i="37"/>
  <c r="E11" i="37"/>
  <c r="H10" i="37"/>
  <c r="E10" i="37"/>
  <c r="H9" i="37"/>
  <c r="E9" i="37"/>
  <c r="H8" i="37"/>
  <c r="E8" i="37"/>
  <c r="H7" i="37"/>
  <c r="E7" i="37"/>
  <c r="H6" i="37"/>
  <c r="E6" i="37"/>
  <c r="E12" i="37" l="1"/>
  <c r="H12" i="37"/>
  <c r="J28" i="35" l="1"/>
  <c r="J24" i="35"/>
  <c r="J23" i="35"/>
  <c r="J22" i="35"/>
  <c r="J21" i="35"/>
  <c r="J20" i="35"/>
  <c r="J19" i="35"/>
  <c r="J18" i="35"/>
  <c r="J17" i="35"/>
  <c r="J16" i="35"/>
  <c r="J15" i="35"/>
  <c r="J14" i="35"/>
  <c r="J13" i="35"/>
  <c r="J12" i="35"/>
  <c r="J11" i="35"/>
  <c r="J10" i="35"/>
  <c r="J9" i="35"/>
  <c r="J8" i="35"/>
  <c r="J7" i="35"/>
  <c r="J6" i="35"/>
  <c r="J5" i="35"/>
  <c r="C14" i="32" l="1"/>
  <c r="C8" i="32" s="1"/>
  <c r="O21" i="32"/>
  <c r="N14" i="32"/>
  <c r="N8" i="32" s="1"/>
  <c r="M14" i="32"/>
  <c r="L14" i="32"/>
  <c r="L8" i="32" s="1"/>
  <c r="K14" i="32"/>
  <c r="K8" i="32" s="1"/>
  <c r="J14" i="32"/>
  <c r="J8" i="32" s="1"/>
  <c r="I14" i="32"/>
  <c r="I8" i="32" s="1"/>
  <c r="H14" i="32"/>
  <c r="G14" i="32"/>
  <c r="G8" i="32" s="1"/>
  <c r="F14" i="32"/>
  <c r="F8" i="32" s="1"/>
  <c r="E14" i="32"/>
  <c r="E8" i="32" s="1"/>
  <c r="D14" i="32"/>
  <c r="O36" i="32"/>
  <c r="O35" i="32"/>
  <c r="N34" i="32"/>
  <c r="M34" i="32"/>
  <c r="L34" i="32"/>
  <c r="K34" i="32"/>
  <c r="J34" i="32"/>
  <c r="I34" i="32"/>
  <c r="H34" i="32"/>
  <c r="G34" i="32"/>
  <c r="F34" i="32"/>
  <c r="E34" i="32"/>
  <c r="D34" i="32"/>
  <c r="C34" i="32"/>
  <c r="O31" i="32"/>
  <c r="O30" i="32"/>
  <c r="N29" i="32"/>
  <c r="M29" i="32"/>
  <c r="L29" i="32"/>
  <c r="K29" i="32"/>
  <c r="J29" i="32"/>
  <c r="I29" i="32"/>
  <c r="H29" i="32"/>
  <c r="G29" i="32"/>
  <c r="F29" i="32"/>
  <c r="E29" i="32"/>
  <c r="D29" i="32"/>
  <c r="C29" i="32"/>
  <c r="O28" i="32"/>
  <c r="O27" i="32"/>
  <c r="O26" i="32"/>
  <c r="O25" i="32"/>
  <c r="O24" i="32"/>
  <c r="O23" i="32"/>
  <c r="N22" i="32"/>
  <c r="M22" i="32"/>
  <c r="L22" i="32"/>
  <c r="K22" i="32"/>
  <c r="J22" i="32"/>
  <c r="I22" i="32"/>
  <c r="H22" i="32"/>
  <c r="G22" i="32"/>
  <c r="F22" i="32"/>
  <c r="E22" i="32"/>
  <c r="D22" i="32"/>
  <c r="C22" i="32"/>
  <c r="O20" i="32"/>
  <c r="O19" i="32"/>
  <c r="O18" i="32"/>
  <c r="O17" i="32"/>
  <c r="O16" i="32"/>
  <c r="O15" i="32"/>
  <c r="H8" i="32"/>
  <c r="H7" i="32" s="1"/>
  <c r="D8" i="32"/>
  <c r="AD13" i="32"/>
  <c r="AC13" i="32"/>
  <c r="AB13" i="32"/>
  <c r="AA13" i="32"/>
  <c r="Z13" i="32"/>
  <c r="Y13" i="32"/>
  <c r="X13" i="32"/>
  <c r="W13" i="32"/>
  <c r="V13" i="32"/>
  <c r="U13" i="32"/>
  <c r="T13" i="32"/>
  <c r="S13" i="32"/>
  <c r="O13" i="32"/>
  <c r="O12" i="32"/>
  <c r="AE11" i="32"/>
  <c r="O11" i="32"/>
  <c r="AE10" i="32"/>
  <c r="O10" i="32"/>
  <c r="O9" i="32"/>
  <c r="O35" i="31"/>
  <c r="O34" i="31"/>
  <c r="N33" i="31"/>
  <c r="M33" i="31"/>
  <c r="L33" i="31"/>
  <c r="K33" i="31"/>
  <c r="J33" i="31"/>
  <c r="I33" i="31"/>
  <c r="H33" i="31"/>
  <c r="G33" i="31"/>
  <c r="F33" i="31"/>
  <c r="E33" i="31"/>
  <c r="D33" i="31"/>
  <c r="C33" i="31"/>
  <c r="O33" i="31" s="1"/>
  <c r="O30" i="31"/>
  <c r="O29" i="31"/>
  <c r="N28" i="31"/>
  <c r="M28" i="31"/>
  <c r="L28" i="31"/>
  <c r="K28" i="31"/>
  <c r="J28" i="31"/>
  <c r="I28" i="31"/>
  <c r="H28" i="31"/>
  <c r="G28" i="31"/>
  <c r="F28" i="31"/>
  <c r="E28" i="31"/>
  <c r="D28" i="31"/>
  <c r="C28" i="31"/>
  <c r="O28" i="31" s="1"/>
  <c r="O27" i="31"/>
  <c r="O26" i="31"/>
  <c r="O25" i="31"/>
  <c r="O24" i="31"/>
  <c r="O23" i="31"/>
  <c r="O22" i="31"/>
  <c r="N21" i="31"/>
  <c r="M21" i="31"/>
  <c r="L21" i="31"/>
  <c r="K21" i="31"/>
  <c r="J21" i="31"/>
  <c r="I21" i="31"/>
  <c r="H21" i="31"/>
  <c r="G21" i="31"/>
  <c r="F21" i="31"/>
  <c r="E21" i="31"/>
  <c r="D21" i="31"/>
  <c r="C21" i="31"/>
  <c r="O21" i="31" s="1"/>
  <c r="O20" i="31"/>
  <c r="O19" i="31"/>
  <c r="O18" i="31"/>
  <c r="O17" i="31"/>
  <c r="O16" i="31"/>
  <c r="O15" i="31"/>
  <c r="N14" i="31"/>
  <c r="M14" i="31"/>
  <c r="L14" i="31"/>
  <c r="L8" i="31" s="1"/>
  <c r="L7" i="31" s="1"/>
  <c r="L31" i="31" s="1"/>
  <c r="K14" i="31"/>
  <c r="J14" i="31"/>
  <c r="I14" i="31"/>
  <c r="H14" i="31"/>
  <c r="H8" i="31" s="1"/>
  <c r="H7" i="31" s="1"/>
  <c r="H31" i="31" s="1"/>
  <c r="G14" i="31"/>
  <c r="F14" i="31"/>
  <c r="E14" i="31"/>
  <c r="D14" i="31"/>
  <c r="D8" i="31" s="1"/>
  <c r="D7" i="31" s="1"/>
  <c r="D31" i="31" s="1"/>
  <c r="C14" i="31"/>
  <c r="AD13" i="31"/>
  <c r="AC13" i="31"/>
  <c r="AB13" i="31"/>
  <c r="AA13" i="31"/>
  <c r="Z13" i="31"/>
  <c r="Y13" i="31"/>
  <c r="X13" i="31"/>
  <c r="W13" i="31"/>
  <c r="V13" i="31"/>
  <c r="U13" i="31"/>
  <c r="T13" i="31"/>
  <c r="S13" i="31"/>
  <c r="O13" i="31"/>
  <c r="O12" i="31"/>
  <c r="AE11" i="31"/>
  <c r="O11" i="31"/>
  <c r="AE10" i="31"/>
  <c r="O10" i="31"/>
  <c r="O9" i="31"/>
  <c r="N8" i="31"/>
  <c r="M8" i="31"/>
  <c r="M7" i="31" s="1"/>
  <c r="M31" i="31" s="1"/>
  <c r="K8" i="31"/>
  <c r="J8" i="31"/>
  <c r="I8" i="31"/>
  <c r="I7" i="31" s="1"/>
  <c r="I31" i="31" s="1"/>
  <c r="G8" i="31"/>
  <c r="F8" i="31"/>
  <c r="E8" i="31"/>
  <c r="E7" i="31" s="1"/>
  <c r="E31" i="31" s="1"/>
  <c r="C8" i="31"/>
  <c r="C7" i="31" s="1"/>
  <c r="C31" i="31" s="1"/>
  <c r="N7" i="31"/>
  <c r="N31" i="31" s="1"/>
  <c r="K7" i="31"/>
  <c r="K31" i="31" s="1"/>
  <c r="J7" i="31"/>
  <c r="J31" i="31" s="1"/>
  <c r="G7" i="31"/>
  <c r="G31" i="31" s="1"/>
  <c r="F7" i="31"/>
  <c r="F31" i="31" s="1"/>
  <c r="O34" i="30"/>
  <c r="O33" i="30"/>
  <c r="N32" i="30"/>
  <c r="M32" i="30"/>
  <c r="L32" i="30"/>
  <c r="K32" i="30"/>
  <c r="J32" i="30"/>
  <c r="I32" i="30"/>
  <c r="H32" i="30"/>
  <c r="G32" i="30"/>
  <c r="F32" i="30"/>
  <c r="E32" i="30"/>
  <c r="D32" i="30"/>
  <c r="C32" i="30"/>
  <c r="O29" i="30"/>
  <c r="O28" i="30"/>
  <c r="N27" i="30"/>
  <c r="M27" i="30"/>
  <c r="L27" i="30"/>
  <c r="K27" i="30"/>
  <c r="J27" i="30"/>
  <c r="I27" i="30"/>
  <c r="H27" i="30"/>
  <c r="G27" i="30"/>
  <c r="F27" i="30"/>
  <c r="E27" i="30"/>
  <c r="D27" i="30"/>
  <c r="C27" i="30"/>
  <c r="O26" i="30"/>
  <c r="O25" i="30"/>
  <c r="O24" i="30"/>
  <c r="O23" i="30"/>
  <c r="O22" i="30"/>
  <c r="O21" i="30"/>
  <c r="N20" i="30"/>
  <c r="M20" i="30"/>
  <c r="L20" i="30"/>
  <c r="K20" i="30"/>
  <c r="J20" i="30"/>
  <c r="I20" i="30"/>
  <c r="H20" i="30"/>
  <c r="G20" i="30"/>
  <c r="F20" i="30"/>
  <c r="E20" i="30"/>
  <c r="D20" i="30"/>
  <c r="C20" i="30"/>
  <c r="O19" i="30"/>
  <c r="O18" i="30"/>
  <c r="O17" i="30"/>
  <c r="O16" i="30"/>
  <c r="O15" i="30"/>
  <c r="N14" i="30"/>
  <c r="M14" i="30"/>
  <c r="L14" i="30"/>
  <c r="L8" i="30" s="1"/>
  <c r="L7" i="30" s="1"/>
  <c r="L30" i="30" s="1"/>
  <c r="K14" i="30"/>
  <c r="K8" i="30" s="1"/>
  <c r="K7" i="30" s="1"/>
  <c r="K30" i="30" s="1"/>
  <c r="J14" i="30"/>
  <c r="I14" i="30"/>
  <c r="H14" i="30"/>
  <c r="H8" i="30" s="1"/>
  <c r="H7" i="30" s="1"/>
  <c r="H30" i="30" s="1"/>
  <c r="G14" i="30"/>
  <c r="G8" i="30" s="1"/>
  <c r="G7" i="30" s="1"/>
  <c r="G30" i="30" s="1"/>
  <c r="F14" i="30"/>
  <c r="E14" i="30"/>
  <c r="D14" i="30"/>
  <c r="D8" i="30" s="1"/>
  <c r="D7" i="30" s="1"/>
  <c r="D30" i="30" s="1"/>
  <c r="C14" i="30"/>
  <c r="O14" i="30" s="1"/>
  <c r="O13" i="30"/>
  <c r="O12" i="30"/>
  <c r="O11" i="30"/>
  <c r="O10" i="30"/>
  <c r="O9" i="30"/>
  <c r="N8" i="30"/>
  <c r="M8" i="30"/>
  <c r="M7" i="30" s="1"/>
  <c r="M30" i="30" s="1"/>
  <c r="J8" i="30"/>
  <c r="J7" i="30" s="1"/>
  <c r="J30" i="30" s="1"/>
  <c r="I8" i="30"/>
  <c r="I7" i="30" s="1"/>
  <c r="I30" i="30" s="1"/>
  <c r="F8" i="30"/>
  <c r="E8" i="30"/>
  <c r="E7" i="30" s="1"/>
  <c r="E30" i="30" s="1"/>
  <c r="N7" i="30"/>
  <c r="N30" i="30" s="1"/>
  <c r="F7" i="30"/>
  <c r="F30" i="30" s="1"/>
  <c r="O34" i="29"/>
  <c r="O33" i="29"/>
  <c r="N32" i="29"/>
  <c r="M32" i="29"/>
  <c r="L32" i="29"/>
  <c r="K32" i="29"/>
  <c r="J32" i="29"/>
  <c r="I32" i="29"/>
  <c r="H32" i="29"/>
  <c r="G32" i="29"/>
  <c r="F32" i="29"/>
  <c r="E32" i="29"/>
  <c r="D32" i="29"/>
  <c r="C32" i="29"/>
  <c r="O29" i="29"/>
  <c r="O28" i="29"/>
  <c r="N27" i="29"/>
  <c r="M27" i="29"/>
  <c r="L27" i="29"/>
  <c r="K27" i="29"/>
  <c r="J27" i="29"/>
  <c r="I27" i="29"/>
  <c r="H27" i="29"/>
  <c r="G27" i="29"/>
  <c r="F27" i="29"/>
  <c r="E27" i="29"/>
  <c r="D27" i="29"/>
  <c r="C27" i="29"/>
  <c r="O26" i="29"/>
  <c r="O25" i="29"/>
  <c r="O24" i="29"/>
  <c r="O23" i="29"/>
  <c r="O22" i="29"/>
  <c r="O21" i="29"/>
  <c r="N20" i="29"/>
  <c r="M20" i="29"/>
  <c r="L20" i="29"/>
  <c r="K20" i="29"/>
  <c r="J20" i="29"/>
  <c r="I20" i="29"/>
  <c r="H20" i="29"/>
  <c r="G20" i="29"/>
  <c r="F20" i="29"/>
  <c r="E20" i="29"/>
  <c r="D20" i="29"/>
  <c r="C20" i="29"/>
  <c r="O19" i="29"/>
  <c r="O18" i="29"/>
  <c r="O17" i="29"/>
  <c r="O16" i="29"/>
  <c r="O15" i="29"/>
  <c r="N14" i="29"/>
  <c r="N8" i="29" s="1"/>
  <c r="N7" i="29" s="1"/>
  <c r="N30" i="29" s="1"/>
  <c r="M14" i="29"/>
  <c r="L14" i="29"/>
  <c r="K14" i="29"/>
  <c r="K8" i="29" s="1"/>
  <c r="K7" i="29" s="1"/>
  <c r="K30" i="29" s="1"/>
  <c r="J14" i="29"/>
  <c r="J8" i="29" s="1"/>
  <c r="J7" i="29" s="1"/>
  <c r="J30" i="29" s="1"/>
  <c r="I14" i="29"/>
  <c r="H14" i="29"/>
  <c r="G14" i="29"/>
  <c r="G8" i="29" s="1"/>
  <c r="G7" i="29" s="1"/>
  <c r="G30" i="29" s="1"/>
  <c r="F14" i="29"/>
  <c r="F8" i="29" s="1"/>
  <c r="F7" i="29" s="1"/>
  <c r="F30" i="29" s="1"/>
  <c r="E14" i="29"/>
  <c r="D14" i="29"/>
  <c r="C14" i="29"/>
  <c r="C8" i="29" s="1"/>
  <c r="O13" i="29"/>
  <c r="O12" i="29"/>
  <c r="O11" i="29"/>
  <c r="O10" i="29"/>
  <c r="O9" i="29"/>
  <c r="M8" i="29"/>
  <c r="L8" i="29"/>
  <c r="L7" i="29" s="1"/>
  <c r="L30" i="29" s="1"/>
  <c r="I8" i="29"/>
  <c r="H8" i="29"/>
  <c r="H7" i="29" s="1"/>
  <c r="H30" i="29" s="1"/>
  <c r="E8" i="29"/>
  <c r="D8" i="29"/>
  <c r="D7" i="29" s="1"/>
  <c r="D30" i="29" s="1"/>
  <c r="M7" i="29"/>
  <c r="M30" i="29" s="1"/>
  <c r="I7" i="29"/>
  <c r="I30" i="29" s="1"/>
  <c r="E7" i="29"/>
  <c r="E30" i="29" s="1"/>
  <c r="O33" i="28"/>
  <c r="O32" i="28"/>
  <c r="N31" i="28"/>
  <c r="M31" i="28"/>
  <c r="L31" i="28"/>
  <c r="K31" i="28"/>
  <c r="J31" i="28"/>
  <c r="I31" i="28"/>
  <c r="H31" i="28"/>
  <c r="G31" i="28"/>
  <c r="F31" i="28"/>
  <c r="E31" i="28"/>
  <c r="D31" i="28"/>
  <c r="C31" i="28"/>
  <c r="O31" i="28" s="1"/>
  <c r="O28" i="28"/>
  <c r="O27" i="28"/>
  <c r="N26" i="28"/>
  <c r="M26" i="28"/>
  <c r="L26" i="28"/>
  <c r="K26" i="28"/>
  <c r="J26" i="28"/>
  <c r="I26" i="28"/>
  <c r="H26" i="28"/>
  <c r="G26" i="28"/>
  <c r="F26" i="28"/>
  <c r="E26" i="28"/>
  <c r="D26" i="28"/>
  <c r="C26" i="28"/>
  <c r="O26" i="28" s="1"/>
  <c r="O25" i="28"/>
  <c r="O24" i="28"/>
  <c r="O23" i="28"/>
  <c r="O22" i="28"/>
  <c r="O21" i="28"/>
  <c r="O20" i="28"/>
  <c r="N19" i="28"/>
  <c r="M19" i="28"/>
  <c r="L19" i="28"/>
  <c r="K19" i="28"/>
  <c r="J19" i="28"/>
  <c r="I19" i="28"/>
  <c r="H19" i="28"/>
  <c r="G19" i="28"/>
  <c r="F19" i="28"/>
  <c r="E19" i="28"/>
  <c r="D19" i="28"/>
  <c r="C19" i="28"/>
  <c r="O19" i="28" s="1"/>
  <c r="O18" i="28"/>
  <c r="O17" i="28"/>
  <c r="O16" i="28"/>
  <c r="O15" i="28"/>
  <c r="N14" i="28"/>
  <c r="N8" i="28" s="1"/>
  <c r="N7" i="28" s="1"/>
  <c r="N29" i="28" s="1"/>
  <c r="M14" i="28"/>
  <c r="L14" i="28"/>
  <c r="K14" i="28"/>
  <c r="K8" i="28" s="1"/>
  <c r="K7" i="28" s="1"/>
  <c r="K29" i="28" s="1"/>
  <c r="J14" i="28"/>
  <c r="J8" i="28" s="1"/>
  <c r="J7" i="28" s="1"/>
  <c r="J29" i="28" s="1"/>
  <c r="I14" i="28"/>
  <c r="H14" i="28"/>
  <c r="G14" i="28"/>
  <c r="G8" i="28" s="1"/>
  <c r="G7" i="28" s="1"/>
  <c r="G29" i="28" s="1"/>
  <c r="F14" i="28"/>
  <c r="F8" i="28" s="1"/>
  <c r="F7" i="28" s="1"/>
  <c r="F29" i="28" s="1"/>
  <c r="E14" i="28"/>
  <c r="D14" i="28"/>
  <c r="C14" i="28"/>
  <c r="C8" i="28" s="1"/>
  <c r="O13" i="28"/>
  <c r="O12" i="28"/>
  <c r="O11" i="28"/>
  <c r="O10" i="28"/>
  <c r="O9" i="28"/>
  <c r="M8" i="28"/>
  <c r="L8" i="28"/>
  <c r="L7" i="28" s="1"/>
  <c r="L29" i="28" s="1"/>
  <c r="I8" i="28"/>
  <c r="H8" i="28"/>
  <c r="H7" i="28" s="1"/>
  <c r="H29" i="28" s="1"/>
  <c r="E8" i="28"/>
  <c r="D8" i="28"/>
  <c r="D7" i="28" s="1"/>
  <c r="D29" i="28" s="1"/>
  <c r="M7" i="28"/>
  <c r="M29" i="28" s="1"/>
  <c r="I7" i="28"/>
  <c r="I29" i="28" s="1"/>
  <c r="E7" i="28"/>
  <c r="E29" i="28" s="1"/>
  <c r="O33" i="27"/>
  <c r="O32" i="27"/>
  <c r="N31" i="27"/>
  <c r="M31" i="27"/>
  <c r="L31" i="27"/>
  <c r="K31" i="27"/>
  <c r="J31" i="27"/>
  <c r="I31" i="27"/>
  <c r="H31" i="27"/>
  <c r="G31" i="27"/>
  <c r="F31" i="27"/>
  <c r="E31" i="27"/>
  <c r="D31" i="27"/>
  <c r="C31" i="27"/>
  <c r="O28" i="27"/>
  <c r="O27" i="27"/>
  <c r="N26" i="27"/>
  <c r="M26" i="27"/>
  <c r="L26" i="27"/>
  <c r="K26" i="27"/>
  <c r="J26" i="27"/>
  <c r="I26" i="27"/>
  <c r="H26" i="27"/>
  <c r="G26" i="27"/>
  <c r="F26" i="27"/>
  <c r="E26" i="27"/>
  <c r="D26" i="27"/>
  <c r="C26" i="27"/>
  <c r="O26" i="27" s="1"/>
  <c r="O25" i="27"/>
  <c r="O24" i="27"/>
  <c r="O23" i="27"/>
  <c r="O22" i="27"/>
  <c r="O21" i="27"/>
  <c r="O20" i="27"/>
  <c r="N19" i="27"/>
  <c r="M19" i="27"/>
  <c r="L19" i="27"/>
  <c r="K19" i="27"/>
  <c r="J19" i="27"/>
  <c r="I19" i="27"/>
  <c r="H19" i="27"/>
  <c r="G19" i="27"/>
  <c r="F19" i="27"/>
  <c r="E19" i="27"/>
  <c r="D19" i="27"/>
  <c r="C19" i="27"/>
  <c r="O18" i="27"/>
  <c r="O17" i="27"/>
  <c r="O16" i="27"/>
  <c r="O15" i="27"/>
  <c r="N14" i="27"/>
  <c r="N8" i="27" s="1"/>
  <c r="N7" i="27" s="1"/>
  <c r="N29" i="27" s="1"/>
  <c r="M14" i="27"/>
  <c r="L14" i="27"/>
  <c r="K14" i="27"/>
  <c r="J14" i="27"/>
  <c r="J8" i="27" s="1"/>
  <c r="J7" i="27" s="1"/>
  <c r="J29" i="27" s="1"/>
  <c r="I14" i="27"/>
  <c r="H14" i="27"/>
  <c r="G14" i="27"/>
  <c r="F14" i="27"/>
  <c r="F8" i="27" s="1"/>
  <c r="F7" i="27" s="1"/>
  <c r="F29" i="27" s="1"/>
  <c r="E14" i="27"/>
  <c r="D14" i="27"/>
  <c r="C14" i="27"/>
  <c r="O13" i="27"/>
  <c r="O12" i="27"/>
  <c r="O11" i="27"/>
  <c r="O10" i="27"/>
  <c r="O9" i="27"/>
  <c r="M8" i="27"/>
  <c r="L8" i="27"/>
  <c r="L7" i="27" s="1"/>
  <c r="L29" i="27" s="1"/>
  <c r="K8" i="27"/>
  <c r="I8" i="27"/>
  <c r="H8" i="27"/>
  <c r="H7" i="27" s="1"/>
  <c r="H29" i="27" s="1"/>
  <c r="G8" i="27"/>
  <c r="E8" i="27"/>
  <c r="D8" i="27"/>
  <c r="D7" i="27" s="1"/>
  <c r="D29" i="27" s="1"/>
  <c r="C8" i="27"/>
  <c r="C7" i="27" s="1"/>
  <c r="C29" i="27" s="1"/>
  <c r="M7" i="27"/>
  <c r="M29" i="27" s="1"/>
  <c r="K7" i="27"/>
  <c r="K29" i="27" s="1"/>
  <c r="I7" i="27"/>
  <c r="I29" i="27" s="1"/>
  <c r="G7" i="27"/>
  <c r="G29" i="27" s="1"/>
  <c r="E7" i="27"/>
  <c r="E29" i="27" s="1"/>
  <c r="O33" i="26"/>
  <c r="O32" i="26"/>
  <c r="N31" i="26"/>
  <c r="M31" i="26"/>
  <c r="L31" i="26"/>
  <c r="K31" i="26"/>
  <c r="J31" i="26"/>
  <c r="I31" i="26"/>
  <c r="H31" i="26"/>
  <c r="G31" i="26"/>
  <c r="F31" i="26"/>
  <c r="E31" i="26"/>
  <c r="D31" i="26"/>
  <c r="C31" i="26"/>
  <c r="O28" i="26"/>
  <c r="O27" i="26"/>
  <c r="N26" i="26"/>
  <c r="M26" i="26"/>
  <c r="L26" i="26"/>
  <c r="K26" i="26"/>
  <c r="J26" i="26"/>
  <c r="I26" i="26"/>
  <c r="H26" i="26"/>
  <c r="G26" i="26"/>
  <c r="F26" i="26"/>
  <c r="E26" i="26"/>
  <c r="D26" i="26"/>
  <c r="C26" i="26"/>
  <c r="O26" i="26" s="1"/>
  <c r="O25" i="26"/>
  <c r="O24" i="26"/>
  <c r="O23" i="26"/>
  <c r="O22" i="26"/>
  <c r="O21" i="26"/>
  <c r="O20" i="26"/>
  <c r="N19" i="26"/>
  <c r="M19" i="26"/>
  <c r="L19" i="26"/>
  <c r="K19" i="26"/>
  <c r="J19" i="26"/>
  <c r="I19" i="26"/>
  <c r="H19" i="26"/>
  <c r="G19" i="26"/>
  <c r="F19" i="26"/>
  <c r="E19" i="26"/>
  <c r="D19" i="26"/>
  <c r="C19" i="26"/>
  <c r="O19" i="26" s="1"/>
  <c r="O18" i="26"/>
  <c r="O17" i="26"/>
  <c r="O16" i="26"/>
  <c r="O15" i="26"/>
  <c r="N14" i="26"/>
  <c r="M14" i="26"/>
  <c r="M8" i="26" s="1"/>
  <c r="M7" i="26" s="1"/>
  <c r="M29" i="26" s="1"/>
  <c r="L14" i="26"/>
  <c r="K14" i="26"/>
  <c r="J14" i="26"/>
  <c r="I14" i="26"/>
  <c r="I8" i="26" s="1"/>
  <c r="I7" i="26" s="1"/>
  <c r="I29" i="26" s="1"/>
  <c r="H14" i="26"/>
  <c r="G14" i="26"/>
  <c r="F14" i="26"/>
  <c r="E14" i="26"/>
  <c r="E8" i="26" s="1"/>
  <c r="E7" i="26" s="1"/>
  <c r="E29" i="26" s="1"/>
  <c r="D14" i="26"/>
  <c r="C14" i="26"/>
  <c r="O13" i="26"/>
  <c r="O12" i="26"/>
  <c r="O11" i="26"/>
  <c r="O10" i="26"/>
  <c r="O9" i="26"/>
  <c r="N8" i="26"/>
  <c r="N7" i="26" s="1"/>
  <c r="N29" i="26" s="1"/>
  <c r="L8" i="26"/>
  <c r="K8" i="26"/>
  <c r="K7" i="26" s="1"/>
  <c r="K29" i="26" s="1"/>
  <c r="J8" i="26"/>
  <c r="H8" i="26"/>
  <c r="H7" i="26" s="1"/>
  <c r="H29" i="26" s="1"/>
  <c r="G8" i="26"/>
  <c r="G7" i="26" s="1"/>
  <c r="G29" i="26" s="1"/>
  <c r="F8" i="26"/>
  <c r="D8" i="26"/>
  <c r="C8" i="26"/>
  <c r="C7" i="26" s="1"/>
  <c r="L7" i="26"/>
  <c r="L29" i="26" s="1"/>
  <c r="J7" i="26"/>
  <c r="J29" i="26" s="1"/>
  <c r="F7" i="26"/>
  <c r="F29" i="26" s="1"/>
  <c r="D7" i="26"/>
  <c r="D29" i="26" s="1"/>
  <c r="O31" i="26" l="1"/>
  <c r="O27" i="29"/>
  <c r="O14" i="26"/>
  <c r="O31" i="27"/>
  <c r="O27" i="30"/>
  <c r="O14" i="27"/>
  <c r="O19" i="27"/>
  <c r="O20" i="29"/>
  <c r="O32" i="29"/>
  <c r="O20" i="30"/>
  <c r="O32" i="30"/>
  <c r="AE13" i="31"/>
  <c r="O14" i="31"/>
  <c r="H32" i="32"/>
  <c r="L7" i="32"/>
  <c r="L32" i="32" s="1"/>
  <c r="O14" i="32"/>
  <c r="D7" i="32"/>
  <c r="D32" i="32" s="1"/>
  <c r="O22" i="32"/>
  <c r="N7" i="32"/>
  <c r="N32" i="32" s="1"/>
  <c r="AE13" i="32"/>
  <c r="M8" i="32"/>
  <c r="M7" i="32" s="1"/>
  <c r="M32" i="32" s="1"/>
  <c r="O34" i="32"/>
  <c r="O29" i="32"/>
  <c r="E7" i="32"/>
  <c r="E32" i="32" s="1"/>
  <c r="I7" i="32"/>
  <c r="I32" i="32" s="1"/>
  <c r="J7" i="32"/>
  <c r="J32" i="32" s="1"/>
  <c r="F7" i="32"/>
  <c r="F32" i="32" s="1"/>
  <c r="G7" i="32"/>
  <c r="G32" i="32" s="1"/>
  <c r="K7" i="32"/>
  <c r="K32" i="32" s="1"/>
  <c r="C7" i="32"/>
  <c r="O8" i="31"/>
  <c r="O7" i="31"/>
  <c r="O31" i="31"/>
  <c r="C8" i="30"/>
  <c r="O8" i="29"/>
  <c r="C7" i="29"/>
  <c r="O14" i="29"/>
  <c r="O8" i="28"/>
  <c r="C7" i="28"/>
  <c r="O14" i="28"/>
  <c r="O8" i="27"/>
  <c r="O7" i="27"/>
  <c r="O29" i="27"/>
  <c r="O7" i="26"/>
  <c r="C29" i="26"/>
  <c r="O29" i="26" s="1"/>
  <c r="O8" i="26"/>
  <c r="O8" i="32" l="1"/>
  <c r="O7" i="32"/>
  <c r="C32" i="32"/>
  <c r="O32" i="32" s="1"/>
  <c r="O8" i="30"/>
  <c r="C7" i="30"/>
  <c r="O7" i="29"/>
  <c r="C30" i="29"/>
  <c r="O30" i="29" s="1"/>
  <c r="O7" i="28"/>
  <c r="C29" i="28"/>
  <c r="O29" i="28" s="1"/>
  <c r="O7" i="30" l="1"/>
  <c r="C30" i="30"/>
  <c r="O30" i="30" s="1"/>
  <c r="N122" i="33" l="1"/>
  <c r="N121" i="33"/>
  <c r="K120" i="33"/>
  <c r="N119" i="33"/>
  <c r="M119" i="33"/>
  <c r="L119" i="33"/>
  <c r="K119" i="33"/>
  <c r="J119" i="33"/>
  <c r="I119" i="33"/>
  <c r="H119" i="33"/>
  <c r="G119" i="33"/>
  <c r="F119" i="33"/>
  <c r="N118" i="33"/>
  <c r="M118" i="33"/>
  <c r="L118" i="33"/>
  <c r="K118" i="33"/>
  <c r="J118" i="33"/>
  <c r="I118" i="33"/>
  <c r="H118" i="33"/>
  <c r="G118" i="33"/>
  <c r="F118" i="33"/>
  <c r="E118" i="33"/>
  <c r="D118" i="33"/>
  <c r="N117" i="33"/>
  <c r="M117" i="33"/>
  <c r="L117" i="33"/>
  <c r="K117" i="33"/>
  <c r="J117" i="33"/>
  <c r="I117" i="33"/>
  <c r="H117" i="33"/>
  <c r="G117" i="33"/>
  <c r="F117" i="33"/>
  <c r="E117" i="33"/>
  <c r="D117" i="33"/>
  <c r="C117" i="33"/>
  <c r="N116" i="33"/>
  <c r="M116" i="33"/>
  <c r="L116" i="33"/>
  <c r="K116" i="33"/>
  <c r="J116" i="33"/>
  <c r="I116" i="33"/>
  <c r="H116" i="33"/>
  <c r="G116" i="33"/>
  <c r="F116" i="33"/>
  <c r="E116" i="33"/>
  <c r="D116" i="33"/>
  <c r="C116" i="33"/>
  <c r="C115" i="33" s="1"/>
  <c r="N114" i="33"/>
  <c r="M114" i="33"/>
  <c r="L114" i="33"/>
  <c r="N113" i="33"/>
  <c r="M113" i="33"/>
  <c r="L113" i="33"/>
  <c r="N111" i="33"/>
  <c r="M111" i="33"/>
  <c r="L111" i="33"/>
  <c r="K111" i="33"/>
  <c r="J111" i="33"/>
  <c r="I111" i="33"/>
  <c r="H111" i="33"/>
  <c r="N110" i="33"/>
  <c r="M110" i="33"/>
  <c r="L110" i="33"/>
  <c r="K110" i="33"/>
  <c r="J110" i="33"/>
  <c r="I110" i="33"/>
  <c r="H110" i="33"/>
  <c r="G110" i="33"/>
  <c r="N109" i="33"/>
  <c r="M109" i="33"/>
  <c r="L109" i="33"/>
  <c r="K109" i="33"/>
  <c r="J109" i="33"/>
  <c r="I109" i="33"/>
  <c r="H109" i="33"/>
  <c r="G109" i="33"/>
  <c r="F109" i="33"/>
  <c r="E109" i="33"/>
  <c r="D109" i="33"/>
  <c r="C109" i="33"/>
  <c r="N108" i="33"/>
  <c r="M108" i="33"/>
  <c r="L108" i="33"/>
  <c r="K108" i="33"/>
  <c r="K107" i="33" s="1"/>
  <c r="J108" i="33"/>
  <c r="I108" i="33"/>
  <c r="I107" i="33" s="1"/>
  <c r="H108" i="33"/>
  <c r="G108" i="33"/>
  <c r="G107" i="33" s="1"/>
  <c r="F108" i="33"/>
  <c r="F107" i="33" s="1"/>
  <c r="E108" i="33"/>
  <c r="E107" i="33" s="1"/>
  <c r="D108" i="33"/>
  <c r="D107" i="33" s="1"/>
  <c r="C108" i="33"/>
  <c r="C107" i="33" s="1"/>
  <c r="N106" i="33"/>
  <c r="M106" i="33"/>
  <c r="N105" i="33"/>
  <c r="M105" i="33"/>
  <c r="L105" i="33"/>
  <c r="K105" i="33"/>
  <c r="J105" i="33"/>
  <c r="I105" i="33"/>
  <c r="H105" i="33"/>
  <c r="G105" i="33"/>
  <c r="F105" i="33"/>
  <c r="E105" i="33"/>
  <c r="D105" i="33"/>
  <c r="C105" i="33"/>
  <c r="N104" i="33"/>
  <c r="M104" i="33"/>
  <c r="L104" i="33"/>
  <c r="K104" i="33"/>
  <c r="J104" i="33"/>
  <c r="I104" i="33"/>
  <c r="H104" i="33"/>
  <c r="G104" i="33"/>
  <c r="F104" i="33"/>
  <c r="E104" i="33"/>
  <c r="D104" i="33"/>
  <c r="C104" i="33"/>
  <c r="N103" i="33"/>
  <c r="M103" i="33"/>
  <c r="L103" i="33"/>
  <c r="K103" i="33"/>
  <c r="J103" i="33"/>
  <c r="I103" i="33"/>
  <c r="H103" i="33"/>
  <c r="G103" i="33"/>
  <c r="F103" i="33"/>
  <c r="E103" i="33"/>
  <c r="D103" i="33"/>
  <c r="C103" i="33"/>
  <c r="N102" i="33"/>
  <c r="M102" i="33"/>
  <c r="L102" i="33"/>
  <c r="K102" i="33"/>
  <c r="J102" i="33"/>
  <c r="I102" i="33"/>
  <c r="H102" i="33"/>
  <c r="G102" i="33"/>
  <c r="F102" i="33"/>
  <c r="E102" i="33"/>
  <c r="D102" i="33"/>
  <c r="C102" i="33"/>
  <c r="N101" i="33"/>
  <c r="M101" i="33"/>
  <c r="L101" i="33"/>
  <c r="L100" i="33" s="1"/>
  <c r="K101" i="33"/>
  <c r="K100" i="33" s="1"/>
  <c r="J101" i="33"/>
  <c r="I101" i="33"/>
  <c r="I100" i="33" s="1"/>
  <c r="H101" i="33"/>
  <c r="H100" i="33" s="1"/>
  <c r="G101" i="33"/>
  <c r="G100" i="33" s="1"/>
  <c r="F101" i="33"/>
  <c r="F100" i="33" s="1"/>
  <c r="E101" i="33"/>
  <c r="E100" i="33" s="1"/>
  <c r="D101" i="33"/>
  <c r="D100" i="33" s="1"/>
  <c r="C101" i="33"/>
  <c r="C100" i="33" s="1"/>
  <c r="J100" i="33"/>
  <c r="N99" i="33"/>
  <c r="M99" i="33"/>
  <c r="L99" i="33"/>
  <c r="K99" i="33"/>
  <c r="J99" i="33"/>
  <c r="I99" i="33"/>
  <c r="H99" i="33"/>
  <c r="G99" i="33"/>
  <c r="F99" i="33"/>
  <c r="E99" i="33"/>
  <c r="D99" i="33"/>
  <c r="C99" i="33"/>
  <c r="N98" i="33"/>
  <c r="M98" i="33"/>
  <c r="L98" i="33"/>
  <c r="K98" i="33"/>
  <c r="J98" i="33"/>
  <c r="I98" i="33"/>
  <c r="H98" i="33"/>
  <c r="G98" i="33"/>
  <c r="F98" i="33"/>
  <c r="E98" i="33"/>
  <c r="D98" i="33"/>
  <c r="C98" i="33"/>
  <c r="N97" i="33"/>
  <c r="M97" i="33"/>
  <c r="L97" i="33"/>
  <c r="K97" i="33"/>
  <c r="J97" i="33"/>
  <c r="I97" i="33"/>
  <c r="H97" i="33"/>
  <c r="G97" i="33"/>
  <c r="F97" i="33"/>
  <c r="E97" i="33"/>
  <c r="D97" i="33"/>
  <c r="C97" i="33"/>
  <c r="N96" i="33"/>
  <c r="M96" i="33"/>
  <c r="L96" i="33"/>
  <c r="K96" i="33"/>
  <c r="J96" i="33"/>
  <c r="J95" i="33" s="1"/>
  <c r="I96" i="33"/>
  <c r="H96" i="33"/>
  <c r="G96" i="33"/>
  <c r="F96" i="33"/>
  <c r="E96" i="33"/>
  <c r="D96" i="33"/>
  <c r="C96" i="33"/>
  <c r="N95" i="33"/>
  <c r="M95" i="33"/>
  <c r="L95" i="33"/>
  <c r="K95" i="33"/>
  <c r="I95" i="33"/>
  <c r="H95" i="33"/>
  <c r="G95" i="33"/>
  <c r="F95" i="33"/>
  <c r="E95" i="33"/>
  <c r="D95" i="33"/>
  <c r="C95" i="33"/>
  <c r="N94" i="33"/>
  <c r="M94" i="33"/>
  <c r="L94" i="33"/>
  <c r="K94" i="33"/>
  <c r="J94" i="33"/>
  <c r="I94" i="33"/>
  <c r="H94" i="33"/>
  <c r="G94" i="33"/>
  <c r="F94" i="33"/>
  <c r="E94" i="33"/>
  <c r="D94" i="33"/>
  <c r="C94" i="33"/>
  <c r="N93" i="33"/>
  <c r="N92" i="33" s="1"/>
  <c r="M93" i="33"/>
  <c r="M92" i="33" s="1"/>
  <c r="L93" i="33"/>
  <c r="L92" i="33" s="1"/>
  <c r="K93" i="33"/>
  <c r="K92" i="33" s="1"/>
  <c r="J93" i="33"/>
  <c r="J92" i="33" s="1"/>
  <c r="I93" i="33"/>
  <c r="I92" i="33" s="1"/>
  <c r="H93" i="33"/>
  <c r="H92" i="33" s="1"/>
  <c r="G93" i="33"/>
  <c r="G92" i="33" s="1"/>
  <c r="F93" i="33"/>
  <c r="F92" i="33" s="1"/>
  <c r="E93" i="33"/>
  <c r="E92" i="33" s="1"/>
  <c r="D93" i="33"/>
  <c r="D92" i="33" s="1"/>
  <c r="C93" i="33"/>
  <c r="C92" i="33" s="1"/>
  <c r="N30" i="33"/>
  <c r="M30" i="33"/>
  <c r="L30" i="33"/>
  <c r="K30" i="33"/>
  <c r="J30" i="33"/>
  <c r="I30" i="33"/>
  <c r="H30" i="33"/>
  <c r="G30" i="33"/>
  <c r="F30" i="33"/>
  <c r="E30" i="33"/>
  <c r="D30" i="33"/>
  <c r="C30" i="33"/>
  <c r="N27" i="33"/>
  <c r="N22" i="33" s="1"/>
  <c r="T23" i="33" s="1"/>
  <c r="M27" i="33"/>
  <c r="M22" i="33" s="1"/>
  <c r="S23" i="33" s="1"/>
  <c r="L27" i="33"/>
  <c r="L22" i="33" s="1"/>
  <c r="K22" i="33"/>
  <c r="J22" i="33"/>
  <c r="I22" i="33"/>
  <c r="H22" i="33"/>
  <c r="G22" i="33"/>
  <c r="F22" i="33"/>
  <c r="E22" i="33"/>
  <c r="D22" i="33"/>
  <c r="C22" i="33"/>
  <c r="N15" i="33"/>
  <c r="M15" i="33"/>
  <c r="L15" i="33"/>
  <c r="K15" i="33"/>
  <c r="J15" i="33"/>
  <c r="I15" i="33"/>
  <c r="H15" i="33"/>
  <c r="G15" i="33"/>
  <c r="F15" i="33"/>
  <c r="E15" i="33"/>
  <c r="D15" i="33"/>
  <c r="C15" i="33"/>
  <c r="N10" i="33"/>
  <c r="M10" i="33"/>
  <c r="L10" i="33"/>
  <c r="K10" i="33"/>
  <c r="J10" i="33"/>
  <c r="I10" i="33"/>
  <c r="H10" i="33"/>
  <c r="G10" i="33"/>
  <c r="F10" i="33"/>
  <c r="E10" i="33"/>
  <c r="D10" i="33"/>
  <c r="C10" i="33"/>
  <c r="N7" i="33"/>
  <c r="M7" i="33"/>
  <c r="L7" i="33"/>
  <c r="K7" i="33"/>
  <c r="J7" i="33"/>
  <c r="I7" i="33"/>
  <c r="I38" i="33" s="1"/>
  <c r="H7" i="33"/>
  <c r="G7" i="33"/>
  <c r="F7" i="33"/>
  <c r="E7" i="33"/>
  <c r="E38" i="33" s="1"/>
  <c r="D7" i="33"/>
  <c r="C7" i="33"/>
  <c r="D115" i="33" l="1"/>
  <c r="H115" i="33"/>
  <c r="L115" i="33"/>
  <c r="G115" i="33"/>
  <c r="G91" i="33" s="1"/>
  <c r="K115" i="33"/>
  <c r="K91" i="33" s="1"/>
  <c r="D38" i="33"/>
  <c r="D62" i="33" s="1"/>
  <c r="H38" i="33"/>
  <c r="H61" i="33" s="1"/>
  <c r="L38" i="33"/>
  <c r="L59" i="33" s="1"/>
  <c r="H107" i="33"/>
  <c r="M38" i="33"/>
  <c r="M70" i="33" s="1"/>
  <c r="J107" i="33"/>
  <c r="N100" i="33"/>
  <c r="I115" i="33"/>
  <c r="F115" i="33"/>
  <c r="J115" i="33"/>
  <c r="E115" i="33"/>
  <c r="E91" i="33" s="1"/>
  <c r="M115" i="33"/>
  <c r="L112" i="33"/>
  <c r="L107" i="33" s="1"/>
  <c r="F38" i="33"/>
  <c r="F74" i="33" s="1"/>
  <c r="N115" i="33"/>
  <c r="N112" i="33"/>
  <c r="N107" i="33" s="1"/>
  <c r="C91" i="33"/>
  <c r="H91" i="33"/>
  <c r="C38" i="33"/>
  <c r="C60" i="33" s="1"/>
  <c r="G38" i="33"/>
  <c r="G75" i="33" s="1"/>
  <c r="K38" i="33"/>
  <c r="K68" i="33" s="1"/>
  <c r="J38" i="33"/>
  <c r="J76" i="33" s="1"/>
  <c r="F91" i="33"/>
  <c r="M100" i="33"/>
  <c r="D60" i="33"/>
  <c r="I76" i="33"/>
  <c r="I74" i="33"/>
  <c r="I73" i="33"/>
  <c r="I67" i="33"/>
  <c r="I66" i="33"/>
  <c r="I65" i="33"/>
  <c r="I51" i="33"/>
  <c r="I62" i="33"/>
  <c r="I60" i="33"/>
  <c r="I58" i="33"/>
  <c r="I56" i="33"/>
  <c r="I54" i="33"/>
  <c r="I50" i="33"/>
  <c r="I55" i="33"/>
  <c r="I53" i="33"/>
  <c r="I75" i="33"/>
  <c r="I68" i="33"/>
  <c r="I61" i="33"/>
  <c r="I59" i="33"/>
  <c r="E74" i="33"/>
  <c r="E73" i="33"/>
  <c r="E66" i="33"/>
  <c r="E65" i="33"/>
  <c r="E75" i="33"/>
  <c r="E62" i="33"/>
  <c r="E60" i="33"/>
  <c r="E54" i="33"/>
  <c r="E50" i="33"/>
  <c r="E61" i="33"/>
  <c r="E59" i="33"/>
  <c r="E55" i="33"/>
  <c r="E53" i="33"/>
  <c r="E51" i="33"/>
  <c r="E58" i="33"/>
  <c r="E56" i="33"/>
  <c r="M60" i="33"/>
  <c r="N38" i="33"/>
  <c r="D91" i="33"/>
  <c r="I91" i="33"/>
  <c r="L60" i="33"/>
  <c r="M112" i="33"/>
  <c r="M107" i="33" s="1"/>
  <c r="M91" i="33" s="1"/>
  <c r="L67" i="33"/>
  <c r="L91" i="33" l="1"/>
  <c r="M62" i="33"/>
  <c r="M73" i="33"/>
  <c r="D55" i="33"/>
  <c r="M61" i="33"/>
  <c r="M63" i="33"/>
  <c r="M51" i="33"/>
  <c r="M65" i="33"/>
  <c r="M54" i="33"/>
  <c r="M59" i="33"/>
  <c r="M71" i="33"/>
  <c r="M69" i="33" s="1"/>
  <c r="I64" i="33"/>
  <c r="M56" i="33"/>
  <c r="M53" i="33"/>
  <c r="M68" i="33"/>
  <c r="M66" i="33"/>
  <c r="M74" i="33"/>
  <c r="M50" i="33"/>
  <c r="M58" i="33"/>
  <c r="M55" i="33"/>
  <c r="M75" i="33"/>
  <c r="M67" i="33"/>
  <c r="M76" i="33"/>
  <c r="D50" i="33"/>
  <c r="E64" i="33"/>
  <c r="H62" i="33"/>
  <c r="D74" i="33"/>
  <c r="L50" i="33"/>
  <c r="J56" i="33"/>
  <c r="L55" i="33"/>
  <c r="D65" i="33"/>
  <c r="D73" i="33"/>
  <c r="D54" i="33"/>
  <c r="D59" i="33"/>
  <c r="D75" i="33"/>
  <c r="D51" i="33"/>
  <c r="D56" i="33"/>
  <c r="D61" i="33"/>
  <c r="D66" i="33"/>
  <c r="D53" i="33"/>
  <c r="D58" i="33"/>
  <c r="J91" i="33"/>
  <c r="H73" i="33"/>
  <c r="H65" i="33"/>
  <c r="H53" i="33"/>
  <c r="H58" i="33"/>
  <c r="L76" i="33"/>
  <c r="L66" i="33"/>
  <c r="L74" i="33"/>
  <c r="L51" i="33"/>
  <c r="L56" i="33"/>
  <c r="L61" i="33"/>
  <c r="L73" i="33"/>
  <c r="L75" i="33"/>
  <c r="L65" i="33"/>
  <c r="L53" i="33"/>
  <c r="L58" i="33"/>
  <c r="L62" i="33"/>
  <c r="L71" i="33"/>
  <c r="L68" i="33"/>
  <c r="L70" i="33"/>
  <c r="L54" i="33"/>
  <c r="H76" i="33"/>
  <c r="H74" i="33"/>
  <c r="H54" i="33"/>
  <c r="H59" i="33"/>
  <c r="H66" i="33"/>
  <c r="H68" i="33"/>
  <c r="H50" i="33"/>
  <c r="H55" i="33"/>
  <c r="H60" i="33"/>
  <c r="H67" i="33"/>
  <c r="H75" i="33"/>
  <c r="H51" i="33"/>
  <c r="H56" i="33"/>
  <c r="J67" i="33"/>
  <c r="J74" i="33"/>
  <c r="J61" i="33"/>
  <c r="J60" i="33"/>
  <c r="F76" i="33"/>
  <c r="J53" i="33"/>
  <c r="J75" i="33"/>
  <c r="K60" i="33"/>
  <c r="F50" i="33"/>
  <c r="F60" i="33"/>
  <c r="K75" i="33"/>
  <c r="F55" i="33"/>
  <c r="K50" i="33"/>
  <c r="K67" i="33"/>
  <c r="F65" i="33"/>
  <c r="K55" i="33"/>
  <c r="F54" i="33"/>
  <c r="F59" i="33"/>
  <c r="F66" i="33"/>
  <c r="K73" i="33"/>
  <c r="K56" i="33"/>
  <c r="K61" i="33"/>
  <c r="F56" i="33"/>
  <c r="F51" i="33"/>
  <c r="F61" i="33"/>
  <c r="F73" i="33"/>
  <c r="K77" i="33"/>
  <c r="K76" i="33"/>
  <c r="K53" i="33"/>
  <c r="K58" i="33"/>
  <c r="K62" i="33"/>
  <c r="F62" i="33"/>
  <c r="K65" i="33"/>
  <c r="K51" i="33"/>
  <c r="F58" i="33"/>
  <c r="F53" i="33"/>
  <c r="F75" i="33"/>
  <c r="K66" i="33"/>
  <c r="K74" i="33"/>
  <c r="K54" i="33"/>
  <c r="K59" i="33"/>
  <c r="J59" i="33"/>
  <c r="J58" i="33"/>
  <c r="J65" i="33"/>
  <c r="J51" i="33"/>
  <c r="J50" i="33"/>
  <c r="J68" i="33"/>
  <c r="J73" i="33"/>
  <c r="G55" i="33"/>
  <c r="C66" i="33"/>
  <c r="J55" i="33"/>
  <c r="J54" i="33"/>
  <c r="J62" i="33"/>
  <c r="J66" i="33"/>
  <c r="C51" i="33"/>
  <c r="G60" i="33"/>
  <c r="G65" i="33"/>
  <c r="G50" i="33"/>
  <c r="G56" i="33"/>
  <c r="G67" i="33"/>
  <c r="G66" i="33"/>
  <c r="G53" i="33"/>
  <c r="G58" i="33"/>
  <c r="G62" i="33"/>
  <c r="C56" i="33"/>
  <c r="G74" i="33"/>
  <c r="G51" i="33"/>
  <c r="G61" i="33"/>
  <c r="G76" i="33"/>
  <c r="G73" i="33"/>
  <c r="G54" i="33"/>
  <c r="G59" i="33"/>
  <c r="C61" i="33"/>
  <c r="N91" i="33"/>
  <c r="C73" i="33"/>
  <c r="C53" i="33"/>
  <c r="C58" i="33"/>
  <c r="C62" i="33"/>
  <c r="C65" i="33"/>
  <c r="C54" i="33"/>
  <c r="C59" i="33"/>
  <c r="C74" i="33"/>
  <c r="C50" i="33"/>
  <c r="C49" i="33" s="1"/>
  <c r="C55" i="33"/>
  <c r="E72" i="33"/>
  <c r="E52" i="33"/>
  <c r="N76" i="33"/>
  <c r="N74" i="33"/>
  <c r="N73" i="33"/>
  <c r="N71" i="33"/>
  <c r="N67" i="33"/>
  <c r="N66" i="33"/>
  <c r="N65" i="33"/>
  <c r="N63" i="33"/>
  <c r="N78" i="33"/>
  <c r="N75" i="33"/>
  <c r="N68" i="33"/>
  <c r="N61" i="33"/>
  <c r="N59" i="33"/>
  <c r="N55" i="33"/>
  <c r="N53" i="33"/>
  <c r="N51" i="33"/>
  <c r="N79" i="33"/>
  <c r="N70" i="33"/>
  <c r="N62" i="33"/>
  <c r="N60" i="33"/>
  <c r="N58" i="33"/>
  <c r="N56" i="33"/>
  <c r="N54" i="33"/>
  <c r="N50" i="33"/>
  <c r="N49" i="33" s="1"/>
  <c r="E49" i="33"/>
  <c r="I52" i="33"/>
  <c r="I72" i="33"/>
  <c r="I57" i="33"/>
  <c r="E57" i="33"/>
  <c r="I49" i="33"/>
  <c r="M49" i="33" l="1"/>
  <c r="C64" i="33"/>
  <c r="M52" i="33"/>
  <c r="D52" i="33"/>
  <c r="M72" i="33"/>
  <c r="M57" i="33"/>
  <c r="D72" i="33"/>
  <c r="L52" i="33"/>
  <c r="L57" i="33"/>
  <c r="L49" i="33"/>
  <c r="D49" i="33"/>
  <c r="D57" i="33"/>
  <c r="M64" i="33"/>
  <c r="G64" i="33"/>
  <c r="K64" i="33"/>
  <c r="H64" i="33"/>
  <c r="J64" i="33"/>
  <c r="D64" i="33"/>
  <c r="F64" i="33"/>
  <c r="H57" i="33"/>
  <c r="L69" i="33"/>
  <c r="L64" i="33" s="1"/>
  <c r="L72" i="33"/>
  <c r="H49" i="33"/>
  <c r="H72" i="33"/>
  <c r="H52" i="33"/>
  <c r="J72" i="33"/>
  <c r="K49" i="33"/>
  <c r="F72" i="33"/>
  <c r="F52" i="33"/>
  <c r="F49" i="33"/>
  <c r="J57" i="33"/>
  <c r="K57" i="33"/>
  <c r="J52" i="33"/>
  <c r="K52" i="33"/>
  <c r="F57" i="33"/>
  <c r="K72" i="33"/>
  <c r="G49" i="33"/>
  <c r="J49" i="33"/>
  <c r="C52" i="33"/>
  <c r="C57" i="33"/>
  <c r="G72" i="33"/>
  <c r="C72" i="33"/>
  <c r="G52" i="33"/>
  <c r="G57" i="33"/>
  <c r="N57" i="33"/>
  <c r="N69" i="33"/>
  <c r="N64" i="33" s="1"/>
  <c r="I48" i="33"/>
  <c r="E48" i="33"/>
  <c r="N52" i="33"/>
  <c r="N72" i="33"/>
  <c r="M48" i="33" l="1"/>
  <c r="D48" i="33"/>
  <c r="L48" i="33"/>
  <c r="H48" i="33"/>
  <c r="G48" i="33"/>
  <c r="F48" i="33"/>
  <c r="K48" i="33"/>
  <c r="J48" i="33"/>
  <c r="C48" i="33"/>
  <c r="N48" i="33"/>
  <c r="T80" i="3"/>
  <c r="T83" i="3"/>
  <c r="T106" i="3"/>
  <c r="T77" i="3"/>
  <c r="T119" i="3"/>
  <c r="T85" i="3"/>
  <c r="T101" i="3"/>
  <c r="T82" i="3"/>
  <c r="T100" i="3"/>
  <c r="T105" i="3"/>
  <c r="T121" i="3"/>
  <c r="T79" i="3"/>
  <c r="T93" i="3"/>
  <c r="T89" i="3"/>
  <c r="T86" i="3"/>
  <c r="T76" i="3"/>
  <c r="T90" i="3"/>
  <c r="T81" i="3"/>
  <c r="T103" i="3"/>
  <c r="T102" i="3"/>
  <c r="T92" i="3"/>
  <c r="T104" i="3"/>
  <c r="T94" i="3"/>
  <c r="T88" i="3"/>
  <c r="T78" i="3"/>
  <c r="T87" i="3"/>
  <c r="T91" i="3"/>
</calcChain>
</file>

<file path=xl/comments1.xml><?xml version="1.0" encoding="utf-8"?>
<comments xmlns="http://schemas.openxmlformats.org/spreadsheetml/2006/main">
  <authors>
    <author>Omar Bernardo Melendez</author>
  </authors>
  <commentList>
    <comment ref="Q71" authorId="0" shapeId="0">
      <text>
        <r>
          <rPr>
            <b/>
            <sz val="9"/>
            <color indexed="81"/>
            <rFont val="Tahoma"/>
            <family val="2"/>
          </rPr>
          <t>Nota:</t>
        </r>
        <r>
          <rPr>
            <sz val="9"/>
            <color indexed="81"/>
            <rFont val="Tahoma"/>
            <family val="2"/>
          </rPr>
          <t xml:space="preserve">
Se agrega a los montos originales el valor de contribuciones especiales (Seguridad Publica) reflejadas en las transferencias del Gasto Corriente</t>
        </r>
      </text>
    </comment>
  </commentList>
</comments>
</file>

<file path=xl/comments2.xml><?xml version="1.0" encoding="utf-8"?>
<comments xmlns="http://schemas.openxmlformats.org/spreadsheetml/2006/main">
  <authors>
    <author>Omar Bernardo Melendez</author>
  </authors>
  <commentList>
    <comment ref="Q71" authorId="0" shapeId="0">
      <text>
        <r>
          <rPr>
            <b/>
            <sz val="9"/>
            <color indexed="81"/>
            <rFont val="Tahoma"/>
            <family val="2"/>
          </rPr>
          <t>Nota:</t>
        </r>
        <r>
          <rPr>
            <sz val="9"/>
            <color indexed="81"/>
            <rFont val="Tahoma"/>
            <family val="2"/>
          </rPr>
          <t xml:space="preserve">
Se agrega a los montos originales el valor de contribuciones especiales (Seguridad Publica) reflejadas en las transferencias del Gasto Corriente</t>
        </r>
      </text>
    </comment>
  </commentList>
</comments>
</file>

<file path=xl/sharedStrings.xml><?xml version="1.0" encoding="utf-8"?>
<sst xmlns="http://schemas.openxmlformats.org/spreadsheetml/2006/main" count="4434" uniqueCount="853">
  <si>
    <t>I. Situación Financiera</t>
  </si>
  <si>
    <t>(Balance Fiscal)</t>
  </si>
  <si>
    <t>SPNF</t>
  </si>
  <si>
    <t>Contenido</t>
  </si>
  <si>
    <t>Pág.</t>
  </si>
  <si>
    <t>I. Situación Financiera  (Balance Fiscal)</t>
  </si>
  <si>
    <t>Situación Financiera del SPNF, enero - diciembre de 2014</t>
  </si>
  <si>
    <t>Situación Financiera del SPNF, enero - diciembre de 2015</t>
  </si>
  <si>
    <t>Ingresos y Gastos del Gobierno Central, enero - diciembre de 2014</t>
  </si>
  <si>
    <t>Ingresos y Gastos del Gobierno Central, enero - diciembre de 2015</t>
  </si>
  <si>
    <t>II. Ingresos Fiscales</t>
  </si>
  <si>
    <t>Ingresos Totales del Gobierno Central, enero-diciembre de 2014</t>
  </si>
  <si>
    <t>Ingresos Totales del Gobierno Central, enero-diciembre de 2015</t>
  </si>
  <si>
    <t>III. Ejecución Presupuestaria GOES</t>
  </si>
  <si>
    <t>IV. Ejecución de la Inversión Pública SPNF</t>
  </si>
  <si>
    <t>V. Deuda Pública total SPNF</t>
  </si>
  <si>
    <t>Características de las emisiones de Eurobonos por la República de El Salvador</t>
  </si>
  <si>
    <t>GOES</t>
  </si>
  <si>
    <t>MINISTERIO DE HACIENDA</t>
  </si>
  <si>
    <t>(Millones de Dólares)</t>
  </si>
  <si>
    <t>Conceptos</t>
  </si>
  <si>
    <t>1. IVA</t>
  </si>
  <si>
    <t>Declaración</t>
  </si>
  <si>
    <t>Importación</t>
  </si>
  <si>
    <t>2. Impuesto sobre la Renta</t>
  </si>
  <si>
    <t>Pago a Cuenta</t>
  </si>
  <si>
    <t>Retenciones</t>
  </si>
  <si>
    <t>3. Derechos Arancelarios a las Importaciones</t>
  </si>
  <si>
    <t>4. Impuestos Específicos al Consumo</t>
  </si>
  <si>
    <t>Productos Alcohólicos</t>
  </si>
  <si>
    <t>Cigarrillos</t>
  </si>
  <si>
    <t>Gaseosa</t>
  </si>
  <si>
    <t>Cerveza</t>
  </si>
  <si>
    <t>Armas, Municiones, Explosivos y Similares</t>
  </si>
  <si>
    <t>Ad-valorem sobre combustibles</t>
  </si>
  <si>
    <t>5. Otros Impuestos y Gravámenes Diversos</t>
  </si>
  <si>
    <t>Transferencia de Bienes y Raíces</t>
  </si>
  <si>
    <t>Migración y Turismo</t>
  </si>
  <si>
    <t>Sobre llamadas del exterior</t>
  </si>
  <si>
    <t>Primera Matricula</t>
  </si>
  <si>
    <t>Impuesto a las Operaciones Financieras</t>
  </si>
  <si>
    <t>Al cheque y a las transferencias electrónicas</t>
  </si>
  <si>
    <t>Retención para el control de la liquidez (Acreditable)</t>
  </si>
  <si>
    <t>6. Contribuciones Especiales</t>
  </si>
  <si>
    <t>FOVIAL</t>
  </si>
  <si>
    <t>INAZUCAR</t>
  </si>
  <si>
    <t>TURISMO</t>
  </si>
  <si>
    <t>TRANSPORTE PUBLICO</t>
  </si>
  <si>
    <t>FONAT</t>
  </si>
  <si>
    <t>SEGURIDAD PUBLICA (CESC)</t>
  </si>
  <si>
    <t>SEGURIDAD PUBLICA (a Grandes Contribuyentes)</t>
  </si>
  <si>
    <t>Total  Ingresos y Contribuciones</t>
  </si>
  <si>
    <t>Fuente: Dirección General de Tesorería</t>
  </si>
  <si>
    <t>(Porcentajes de Participación)</t>
  </si>
  <si>
    <t>TRIBUTARIOS</t>
  </si>
  <si>
    <t>(Porcentajes del PIB)</t>
  </si>
  <si>
    <t>PIB nominal</t>
  </si>
  <si>
    <t>INGRESOS DEL GOBIERNO CENTRAL:  Enero-Diciembre de 2009</t>
  </si>
  <si>
    <t>Transacciones</t>
  </si>
  <si>
    <t>Ene.</t>
  </si>
  <si>
    <t>Feb.</t>
  </si>
  <si>
    <t>Mar.</t>
  </si>
  <si>
    <t>Abr.</t>
  </si>
  <si>
    <t>May.</t>
  </si>
  <si>
    <t>Jun.</t>
  </si>
  <si>
    <t>Jul.</t>
  </si>
  <si>
    <t>Ago.</t>
  </si>
  <si>
    <t>Sep.</t>
  </si>
  <si>
    <t>Oct.</t>
  </si>
  <si>
    <t>Nov.</t>
  </si>
  <si>
    <t>Dic.</t>
  </si>
  <si>
    <t>I. Ingresos Corrientes</t>
  </si>
  <si>
    <t xml:space="preserve">Tributarios (Brutos) </t>
  </si>
  <si>
    <t>1. Impuesto al Valor Agregado (IVA)</t>
  </si>
  <si>
    <t>4. Impuestos Específicos al Consumo 1/</t>
  </si>
  <si>
    <t>5. Otros 2/</t>
  </si>
  <si>
    <t xml:space="preserve">6. Contribuciones Especiales   </t>
  </si>
  <si>
    <t>Fondo Vial</t>
  </si>
  <si>
    <t>Azúcar Extraida</t>
  </si>
  <si>
    <t>Promoción Turismo</t>
  </si>
  <si>
    <t>Transporte Público</t>
  </si>
  <si>
    <t xml:space="preserve">Ingresos No Tributarios      </t>
  </si>
  <si>
    <t xml:space="preserve">1. Renta de la Propiedad </t>
  </si>
  <si>
    <t xml:space="preserve">2. Transferencias de Empresas Públicas </t>
  </si>
  <si>
    <t>3. Venta de Bienes y Servicios de las Adm. Públicas</t>
  </si>
  <si>
    <t>4. Tasas y Derechos por Servicios Públicos</t>
  </si>
  <si>
    <t xml:space="preserve">5. Multas </t>
  </si>
  <si>
    <t>6. otros</t>
  </si>
  <si>
    <t>II. Ingresos de Capital</t>
  </si>
  <si>
    <t>1. Venta de Activos</t>
  </si>
  <si>
    <t>2. Transferencias del Resto del Mundo</t>
  </si>
  <si>
    <t>III. Ingresos Totales (I+II)</t>
  </si>
  <si>
    <t>Devoluciones de Impuestos</t>
  </si>
  <si>
    <t>Renta</t>
  </si>
  <si>
    <t>IVA</t>
  </si>
  <si>
    <t>Fuente: Dirección de Política Económica y Fiscal con base a datos de Dirección General de Tesorería y Dirección General de Inversión y Crédito Público</t>
  </si>
  <si>
    <t xml:space="preserve">1/ Esta constituido por: productos alcohólicos, gaseosas, cervezas, cigarrillos, armas y explosivos. </t>
  </si>
  <si>
    <t>2/ Incluye: Impuesto sobre transferencias de Bienes Raices; Migración y Turismo; e Impuesto sobre llamadas provenientes del exterior</t>
  </si>
  <si>
    <t>INGRESOS DEL GOBIERNO CENTRAL:  Enero-Diciembre de 2011</t>
  </si>
  <si>
    <t>INGRESOS DEL GOBIERNO CENTRAL:  Enero-Diciembre de 2012</t>
  </si>
  <si>
    <t>INGRESOS DEL GOBIERNO CENTRAL:  Enero-Diciembre de 2013</t>
  </si>
  <si>
    <t>2/ Incluye: Impuesto sobre Transferencias de Bienes Raices; Migración y Turismo; e Impuesto sobre llamadas provenientes del exterior</t>
  </si>
  <si>
    <t>INGRESOS DEL GOBIERNO CENTRAL:  Enero-Diciembre de 2014</t>
  </si>
  <si>
    <t>2/ Incluye: Impuesto sobre Transferencias de Bienes Raices; Migración y Turismo; Impuesto sobre llamadas provenientes del exterior, y el impuesto s/ operaciones financieras (desde Oct. 2014)</t>
  </si>
  <si>
    <t>INGRESOS DEL GOBIERNO CENTRAL:  Enero-Diciembre de 2015</t>
  </si>
  <si>
    <t>tbr</t>
  </si>
  <si>
    <t>otros</t>
  </si>
  <si>
    <t>Seguridad Pública</t>
  </si>
  <si>
    <t>2/ Incluye: Impuesto sobre Transferencias de Bienes Raices; Migración y Turismo; Impuesto sobre llamadas provenientes del exterior, e impuesto sobre operaciones financieras</t>
  </si>
  <si>
    <t>INGRESOS DEL GOBIERNO CENTRAL:  Enero-Diciembre de 2016</t>
  </si>
  <si>
    <t>Seguridad Pública  (CESC)</t>
  </si>
  <si>
    <t>Seguridad Pública (CEGC)</t>
  </si>
  <si>
    <t>III. Ejecución Presupuestaria</t>
  </si>
  <si>
    <t>Años</t>
  </si>
  <si>
    <t>Conducción Administrativa</t>
  </si>
  <si>
    <t>Administración de Justicia y Seguridad Ciudadana</t>
  </si>
  <si>
    <t>Desarrollo Social</t>
  </si>
  <si>
    <t>Apoyo al Desarrollo Económico</t>
  </si>
  <si>
    <t>Deuda Pública</t>
  </si>
  <si>
    <t>Obligaciones Generales del Estado</t>
  </si>
  <si>
    <t>Producción Empresarial Pública</t>
  </si>
  <si>
    <t>Total</t>
  </si>
  <si>
    <t>Nota: Cifras base devengado</t>
  </si>
  <si>
    <t>Fuente: Informe de Gestión Financiera del Estado (Cuadro No. 4 Capitulo II)</t>
  </si>
  <si>
    <t>Admon, Justicia y Seg. Ciudadana</t>
  </si>
  <si>
    <t>Oblig. Grales. del Estado</t>
  </si>
  <si>
    <t>Millones de US$ y porcentajes</t>
  </si>
  <si>
    <t>Areas de Gestión</t>
  </si>
  <si>
    <t xml:space="preserve">% de Ejec. Devengado </t>
  </si>
  <si>
    <t>Modificado</t>
  </si>
  <si>
    <t xml:space="preserve">Devengado </t>
  </si>
  <si>
    <t>TOTAL</t>
  </si>
  <si>
    <t>Millones de US$ y Porcentajes</t>
  </si>
  <si>
    <t>Clasificación</t>
  </si>
  <si>
    <t xml:space="preserve">Votado </t>
  </si>
  <si>
    <t>A. GASTOS CORRIENTES</t>
  </si>
  <si>
    <t>1. Remuneraciones</t>
  </si>
  <si>
    <t>2. Bienes y Servicios</t>
  </si>
  <si>
    <t>3. Gastos Financieros y Otros</t>
  </si>
  <si>
    <t>4. Transferencias</t>
  </si>
  <si>
    <t>B. GASTOS DE CAPITAL</t>
  </si>
  <si>
    <t>1. Inversión en Activos Fijos</t>
  </si>
  <si>
    <t>2. Inversión en Capital Humano</t>
  </si>
  <si>
    <t>3. Transferencias</t>
  </si>
  <si>
    <t>4. Inversiones Financieras</t>
  </si>
  <si>
    <t>C. APLICACIONES FINANCIERAS</t>
  </si>
  <si>
    <t>1. Amortización Deuda Interna</t>
  </si>
  <si>
    <t>2. Amortización Deuda Externa</t>
  </si>
  <si>
    <t>D. GASTOS DE CONTRIBUCIONES ESPECIALES</t>
  </si>
  <si>
    <t>Municipalidades</t>
  </si>
  <si>
    <t>FISDL</t>
  </si>
  <si>
    <t>Rehabilitac. Sector Agrop.</t>
  </si>
  <si>
    <t>Contrapart. FOMILENIO</t>
  </si>
  <si>
    <t>Economía</t>
  </si>
  <si>
    <t>GOBIERNO CENTRAL</t>
  </si>
  <si>
    <t xml:space="preserve">EJECUCIÓN PRESUPUESTARIA DE GASTOS POR UNIDADES PRIMARIAS </t>
  </si>
  <si>
    <t>(Millones de dólares)</t>
  </si>
  <si>
    <t>Unidades Primarias</t>
  </si>
  <si>
    <t>Organo Legislativo</t>
  </si>
  <si>
    <t>Organo Judicial</t>
  </si>
  <si>
    <t>Organo Ejecutivo</t>
  </si>
  <si>
    <t>Presidencia de la República</t>
  </si>
  <si>
    <t>Ramo de Hacienda</t>
  </si>
  <si>
    <t>Ramo de Relaciones Exteriores</t>
  </si>
  <si>
    <t>Ramo de la Defensa Nacional</t>
  </si>
  <si>
    <t>Ramo de Gobernación y Desarrollo Territorial</t>
  </si>
  <si>
    <t>Ramo de Justicia y Seguridad Pública</t>
  </si>
  <si>
    <t>Ramo de Educación</t>
  </si>
  <si>
    <t>Ramo de Salud</t>
  </si>
  <si>
    <t>Ramo de Trabajo y Previsión Social</t>
  </si>
  <si>
    <t>Ramo de Economía</t>
  </si>
  <si>
    <t>Ramo de Agricultura y Ganadería</t>
  </si>
  <si>
    <t>Ramo de Obras Públicas, Transporte y de Vivienda y Desarrollo Urbano</t>
  </si>
  <si>
    <t>Ramo de Medio Ambiente y Recursos Naturales</t>
  </si>
  <si>
    <t>Ramo de Turismo</t>
  </si>
  <si>
    <t>Ministerio Público</t>
  </si>
  <si>
    <t>Fiscalía General de la República</t>
  </si>
  <si>
    <t>Procuraduría General de la República</t>
  </si>
  <si>
    <t>Procuraduría para la Defensa de los Derechos Humanos</t>
  </si>
  <si>
    <t>Otras Instituciones</t>
  </si>
  <si>
    <t>Corte de Cuentas de la República</t>
  </si>
  <si>
    <t>Tribunal Supremo Electoral</t>
  </si>
  <si>
    <t>Tribunal de Servicio Civil</t>
  </si>
  <si>
    <t>Tribunal de Etica Gubernamental</t>
  </si>
  <si>
    <t>Instituto de Acceso a la Información Pública</t>
  </si>
  <si>
    <t>Consejo Nacional de la Judicatura</t>
  </si>
  <si>
    <t>Sub total de Instituciones</t>
  </si>
  <si>
    <t>Tesoro Público</t>
  </si>
  <si>
    <t>Transferencias Varias</t>
  </si>
  <si>
    <t>Total Gobierno Central</t>
  </si>
  <si>
    <t>% del PARTICIPACION</t>
  </si>
  <si>
    <t>Ramo de Gobernación</t>
  </si>
  <si>
    <t>% DEL PIB</t>
  </si>
  <si>
    <t>Ramo de Salud Pública y Asistencia Social</t>
  </si>
  <si>
    <t>PIB</t>
  </si>
  <si>
    <t>Instituciones</t>
  </si>
  <si>
    <t>Órgano Legislativo</t>
  </si>
  <si>
    <t>Órgano Judicial</t>
  </si>
  <si>
    <t>Órgano Ejecutivo</t>
  </si>
  <si>
    <t xml:space="preserve">Ministerio Público </t>
  </si>
  <si>
    <t>Procuraduría  para la Defensa de  los Derechos Humanos</t>
  </si>
  <si>
    <t>Tribunal de Ética Gubernamental</t>
  </si>
  <si>
    <t>Subtotal Institucional</t>
  </si>
  <si>
    <t>Deuda pública</t>
  </si>
  <si>
    <t>Transferencias varias</t>
  </si>
  <si>
    <t xml:space="preserve">   Gobiernos Municipales</t>
  </si>
  <si>
    <t xml:space="preserve">   Fondo de Inversión Social para el Desarrollo Local</t>
  </si>
  <si>
    <t xml:space="preserve">   Financiamiento al Programa de Rehabilitación de Lisiados</t>
  </si>
  <si>
    <t xml:space="preserve">   Rehabilitación Sector Agropecuario</t>
  </si>
  <si>
    <t xml:space="preserve">   Financiamiento al Fondo Amortización y Fideicomiso Sistema de  Pensiones</t>
  </si>
  <si>
    <t xml:space="preserve">   FINET</t>
  </si>
  <si>
    <t xml:space="preserve">   Financiamiento Prog. Comunidades Solidarias Rurales</t>
  </si>
  <si>
    <t xml:space="preserve">   Financiamiento Contrapartidas de Proyectos de Inversión</t>
  </si>
  <si>
    <t xml:space="preserve">   Al Fondo de Prevención y Mitigación de  Desastres</t>
  </si>
  <si>
    <t xml:space="preserve">   Apoyo a Otras entidades</t>
  </si>
  <si>
    <t>Gastos de Contribuciones Especiales</t>
  </si>
  <si>
    <t>IV. Ejecución de la</t>
  </si>
  <si>
    <t>Inversión Pública</t>
  </si>
  <si>
    <t>del SPNF</t>
  </si>
  <si>
    <t>Subsidios y Devoluciones de impuestos</t>
  </si>
  <si>
    <t>En millones de US$</t>
  </si>
  <si>
    <t>Subsidios</t>
  </si>
  <si>
    <t>Gas licuado de Petróleo</t>
  </si>
  <si>
    <t>Subsidio a la Electricidad:</t>
  </si>
  <si>
    <t>FINET (&lt; 99 Kwh residencial)</t>
  </si>
  <si>
    <t>CEL (consumo &gt; 99 kwh y no residencial)</t>
  </si>
  <si>
    <t>Fuente: Dirección de Política Económica y Fiscal, con datos de la Dirección General de Tesorería</t>
  </si>
  <si>
    <t>IVA a exportadores</t>
  </si>
  <si>
    <t>Drawback (6% a exportadores)</t>
  </si>
  <si>
    <t>Transferencias varias de Contribuciones Especiales</t>
  </si>
  <si>
    <t>Millones US$</t>
  </si>
  <si>
    <t>Otros</t>
  </si>
  <si>
    <t>Aranceles</t>
  </si>
  <si>
    <t>Impuestos Específicos</t>
  </si>
  <si>
    <t>Contribuciones especiales</t>
  </si>
  <si>
    <t>Millones de US$ y % del PIB</t>
  </si>
  <si>
    <t>% del PIB</t>
  </si>
  <si>
    <t>INGRESOS DEL GOBIERNO CENTRAL:  Enero-Diciembre de 2010</t>
  </si>
  <si>
    <t>TRANSACCIONES</t>
  </si>
  <si>
    <t>I. INGRESOS Y DONACIONES</t>
  </si>
  <si>
    <t>A. Ingresos Corrientes</t>
  </si>
  <si>
    <t xml:space="preserve">1. Tributarios     </t>
  </si>
  <si>
    <t xml:space="preserve">2. No Tributarios </t>
  </si>
  <si>
    <t>3. Transferencias de Empresas Públicas</t>
  </si>
  <si>
    <t>B. Ingresos de Capital</t>
  </si>
  <si>
    <t>C. Donaciones</t>
  </si>
  <si>
    <t>II. GASTOS Y CONCESION NETA DE PTMOS.</t>
  </si>
  <si>
    <t xml:space="preserve">A. Gastos Corrientes </t>
  </si>
  <si>
    <t>2. Bienes y servicios</t>
  </si>
  <si>
    <t>3. Intereses</t>
  </si>
  <si>
    <t>4. Transferencias a:</t>
  </si>
  <si>
    <t>1. Resto del Gobierno General</t>
  </si>
  <si>
    <t>2. Empresas Públicas</t>
  </si>
  <si>
    <t>3. Instituciones Financieras Públicas</t>
  </si>
  <si>
    <t>4. Sector Privado</t>
  </si>
  <si>
    <t>5. Resto del Mundo</t>
  </si>
  <si>
    <t>6. FIS</t>
  </si>
  <si>
    <t>7. FOMILENIO</t>
  </si>
  <si>
    <t>8. FOVIAL</t>
  </si>
  <si>
    <t>B. Gastos de Capital</t>
  </si>
  <si>
    <t>1. Inversión Bruta</t>
  </si>
  <si>
    <t>2. Transferencias a:</t>
  </si>
  <si>
    <t>4. FIS</t>
  </si>
  <si>
    <t>5. Sector Privado</t>
  </si>
  <si>
    <t>6. FOMILENIO</t>
  </si>
  <si>
    <t>7. Reconstrucción y PERE</t>
  </si>
  <si>
    <t>8. Fondo de Conservación Vial</t>
  </si>
  <si>
    <t>C. Concesión Neta de Préstamos</t>
  </si>
  <si>
    <t>5. F.I.S.</t>
  </si>
  <si>
    <t>III. AHORRO CORRIENTE [ I.A  -  II.A ]</t>
  </si>
  <si>
    <t>IV. BALANCE PRIMARIO (No incluye intereses) s/ pensiones</t>
  </si>
  <si>
    <t xml:space="preserve">V. SUPERAVIT ( DEFICIT ) GLOBAL, </t>
  </si>
  <si>
    <t>A. Incluyendo Donaciones</t>
  </si>
  <si>
    <t>B. Excluyendo Donaciones</t>
  </si>
  <si>
    <t xml:space="preserve">C. Incluyendo Donaciones y Pensiones </t>
  </si>
  <si>
    <t>V. FINANCIAMIENTO EXTERNO NETO</t>
  </si>
  <si>
    <t>1. Desembolsos de préstamos</t>
  </si>
  <si>
    <t>2. Amortizaciones de préstamos</t>
  </si>
  <si>
    <t>VI. FINANCIAMIENTO INTERNO NETO</t>
  </si>
  <si>
    <t>1. Banco Central</t>
  </si>
  <si>
    <t xml:space="preserve">1. Crédito </t>
  </si>
  <si>
    <t>2. Depósitos</t>
  </si>
  <si>
    <t>2. Bancos Comerciales</t>
  </si>
  <si>
    <t>3. Instituciones Financieras</t>
  </si>
  <si>
    <t>4. Bonos fuera del sistema bancario</t>
  </si>
  <si>
    <t>5. Otros</t>
  </si>
  <si>
    <t>1. Recup. de Préstamos Subsidiarios</t>
  </si>
  <si>
    <t>2. Consolidación de deuda interna</t>
  </si>
  <si>
    <t>3. Privatización y venta de acciones</t>
  </si>
  <si>
    <t>4. Pago de Deuda Previsional</t>
  </si>
  <si>
    <t>VII. BRECHA NO FINANCIADA</t>
  </si>
  <si>
    <t>Partida Informativa</t>
  </si>
  <si>
    <t>FOP</t>
  </si>
  <si>
    <t xml:space="preserve">Fuente: Dirección de Política Económica y Fiscal con base a datos de la Dirección General de Tesorería, y Dirección General de Inversión y Crédito Público </t>
  </si>
  <si>
    <t>GOBIERNO CENTRAL : Ejecución Presupuestaria Enero - Diciembre 2009</t>
  </si>
  <si>
    <t xml:space="preserve">Total 2009 </t>
  </si>
  <si>
    <t xml:space="preserve">IV. SUPERAVIT ( DEFICIT ) GLOBAL, </t>
  </si>
  <si>
    <t>GOBIERNO CENTRAL : Ejecución Presupuestaria Enero - Diciembre 2010</t>
  </si>
  <si>
    <t xml:space="preserve">Total 2010 </t>
  </si>
  <si>
    <t>GOBIERNO CENTRAL : Ejecución Presupuestaria Enero - Diciembre 2011</t>
  </si>
  <si>
    <t xml:space="preserve">Total 2011 </t>
  </si>
  <si>
    <t>GOBIERNO CENTRAL : Ejecución Presupuestaria Enero - Diciembre 2012</t>
  </si>
  <si>
    <t xml:space="preserve">Total 2012 </t>
  </si>
  <si>
    <t>GOBIERNO CENTRAL : Ejecución Presupuestaria Enero - Diciembre 2013</t>
  </si>
  <si>
    <t xml:space="preserve">Total 2013 </t>
  </si>
  <si>
    <t>GOBIERNO CENTRAL : Ejecución Presupuestaria Enero - Diciembre 2014</t>
  </si>
  <si>
    <t xml:space="preserve">Total 2014 </t>
  </si>
  <si>
    <t>GOBIERNO CENTRAL : Ejecución Presupuestaria Enero - Diciembre 2015</t>
  </si>
  <si>
    <t xml:space="preserve">Total 2015 </t>
  </si>
  <si>
    <t xml:space="preserve">Total 2016 </t>
  </si>
  <si>
    <t>2. Transferencias de FANTEL</t>
  </si>
  <si>
    <t>3. Transferencias del Resto del Mundo 3/</t>
  </si>
  <si>
    <t>4. Devoluciones de fondos del ISSS</t>
  </si>
  <si>
    <t>3/ Incluye Donaciones reportadas por Dirección General de Tesorería y las que ingresan para proyectos de inversión por la Dirección General de Inversión y Crédito Público.</t>
  </si>
  <si>
    <t>V. Deuda Pública</t>
  </si>
  <si>
    <t>SPNF / GOES</t>
  </si>
  <si>
    <r>
      <t xml:space="preserve">1. Tributarios   </t>
    </r>
    <r>
      <rPr>
        <vertAlign val="superscript"/>
        <sz val="11"/>
        <rFont val="Arial"/>
        <family val="2"/>
      </rPr>
      <t>1/</t>
    </r>
  </si>
  <si>
    <t>2. No Tributarios</t>
  </si>
  <si>
    <t>3. Superávit de las Empresas Públicas.</t>
  </si>
  <si>
    <t>4. Transferencias Financieras Públicas</t>
  </si>
  <si>
    <t>A. Gastos Corrientes</t>
  </si>
  <si>
    <t xml:space="preserve">1. Consumo </t>
  </si>
  <si>
    <t>Remuneraciones</t>
  </si>
  <si>
    <t>Bienes y Servicios</t>
  </si>
  <si>
    <t>2. Intereses</t>
  </si>
  <si>
    <t>3. Transferencias Corrientes</t>
  </si>
  <si>
    <t>2. Transferencias de Capital</t>
  </si>
  <si>
    <t>C. Concesión neta de préstamos</t>
  </si>
  <si>
    <t>V. SUPERAVIT ( DEFICIT ) GLOBAL,</t>
  </si>
  <si>
    <t>1. Incluyendo Donaciones</t>
  </si>
  <si>
    <t>2. Excluyendo Donaciones</t>
  </si>
  <si>
    <t>3.  Incluyendo pensiones</t>
  </si>
  <si>
    <t>VI. FINANCIAMIENTO EXTERNO NETO</t>
  </si>
  <si>
    <t>VII. FINANCIAMIENTO INTERNO NETO</t>
  </si>
  <si>
    <t>5. Privatización y Vta de Acciones</t>
  </si>
  <si>
    <t>6.  Pago Deuda Previsional</t>
  </si>
  <si>
    <t>7.  Otros</t>
  </si>
  <si>
    <t>VIII. BRECHA NO FINANCIADA</t>
  </si>
  <si>
    <t>Fuente: Dirección de Política Económica y Fiscal con base a datos de la Dirección General de Tesorería, Dirección General de Inversión y Crédito Público, BCR, Empresas Públicas e Instituciones Autónomas.</t>
  </si>
  <si>
    <r>
      <rPr>
        <vertAlign val="superscript"/>
        <sz val="11"/>
        <rFont val="Arial"/>
        <family val="2"/>
      </rPr>
      <t xml:space="preserve">1/ </t>
    </r>
    <r>
      <rPr>
        <sz val="11"/>
        <rFont val="Arial"/>
        <family val="2"/>
      </rPr>
      <t>Incluye las Contribuciones Especiales (Fovial, FOSALUD, Turismo, Transporte y Azúcar)</t>
    </r>
  </si>
  <si>
    <t xml:space="preserve">Partida Informativa </t>
  </si>
  <si>
    <t>Costo de Pesiones</t>
  </si>
  <si>
    <t>Recursos del GOES</t>
  </si>
  <si>
    <t>FOP (CIP's "A")</t>
  </si>
  <si>
    <t>FOSEDU</t>
  </si>
  <si>
    <t>1. Tributarios   1/</t>
  </si>
  <si>
    <t>A. Gastos Corrientes (a)</t>
  </si>
  <si>
    <t>Producto Interno Bruto (nominal)</t>
  </si>
  <si>
    <t>1/ Incluye las Contribuciones Especiales (Fovial, FOSALUD, Turismo, Transporte y Azúcar)</t>
  </si>
  <si>
    <t>EJECUCION FISCAL DEL SECTOR PUBLICO NO FINANCIERO (SPNF) ENERO - DICIEMBRE 2009</t>
  </si>
  <si>
    <t>Total 2009</t>
  </si>
  <si>
    <r>
      <t xml:space="preserve">1. Tributarios   (Brutos) </t>
    </r>
    <r>
      <rPr>
        <vertAlign val="superscript"/>
        <sz val="12"/>
        <color theme="1"/>
        <rFont val="Arial"/>
        <family val="2"/>
      </rPr>
      <t>1/</t>
    </r>
  </si>
  <si>
    <t xml:space="preserve">2. Intereses </t>
  </si>
  <si>
    <t xml:space="preserve">    Inversión en Reconstrucción (Informativa)</t>
  </si>
  <si>
    <t>IV. BALANCE PRIMARIO s/ pensiones (No incluye intereses)</t>
  </si>
  <si>
    <t xml:space="preserve">3. Incluyendo Pensiones </t>
  </si>
  <si>
    <r>
      <rPr>
        <vertAlign val="superscript"/>
        <sz val="10"/>
        <color theme="1"/>
        <rFont val="Arial"/>
        <family val="2"/>
      </rPr>
      <t>1/</t>
    </r>
    <r>
      <rPr>
        <sz val="10"/>
        <color theme="1"/>
        <rFont val="Arial"/>
        <family val="2"/>
      </rPr>
      <t xml:space="preserve"> Incluye las Contribuciones Especiales (Fovial, FOSALUD, Turismo, Transporte y Azúcar)</t>
    </r>
  </si>
  <si>
    <t>Fondo de Obligaciones Previsionales (FOP)</t>
  </si>
  <si>
    <t>EJECUCION FISCAL DEL SECTOR PUBLICO NO FINANCIERO (SPNF) ENERO-DICIEMBRE 2009</t>
  </si>
  <si>
    <t>Producto Interno Bruto nominal</t>
  </si>
  <si>
    <t>Transf. Corrientes (Fideicomiso BMI (FOP)</t>
  </si>
  <si>
    <t>EJECUCION FISCAL DEL SECTOR PUBLICO NO FINANCIERO (SPNF) ENERO - DICIEMBRE 2010</t>
  </si>
  <si>
    <t>Total 2010</t>
  </si>
  <si>
    <t>EJECUCION FISCAL DEL SECTOR PUBLICO NO FINANCIERO (SPNF) ENERO-DICIEMBRE 2010</t>
  </si>
  <si>
    <t>En millones de US$ y %</t>
  </si>
  <si>
    <t>Sectores</t>
  </si>
  <si>
    <t xml:space="preserve"> % de participación</t>
  </si>
  <si>
    <t>Desarrollo Económico</t>
  </si>
  <si>
    <t>Agropecuario</t>
  </si>
  <si>
    <t>Energía</t>
  </si>
  <si>
    <t>Transporte y Almacenaje</t>
  </si>
  <si>
    <t>Agua Potable y Alcantarillado</t>
  </si>
  <si>
    <t>Salud</t>
  </si>
  <si>
    <t>Desarrollo Urbano y comunal</t>
  </si>
  <si>
    <t xml:space="preserve">Medio Ambiente </t>
  </si>
  <si>
    <t>Fuente: Dirección General de Inversión y Crédito Público y Direccón General de Tesorería</t>
  </si>
  <si>
    <t>INVERSION DEL SECTOR PUBLICO NO FINANCIERO</t>
  </si>
  <si>
    <t>(millones de US $ Y % de PIB)</t>
  </si>
  <si>
    <t xml:space="preserve"> % de PIB</t>
  </si>
  <si>
    <t>Sector Público No Financiero (1+2+3)</t>
  </si>
  <si>
    <t>a) Presupuesto Ordinario **</t>
  </si>
  <si>
    <t xml:space="preserve">Organo Legislativo </t>
  </si>
  <si>
    <t xml:space="preserve">Corte de Cuentas </t>
  </si>
  <si>
    <t xml:space="preserve">Ramo de Trabajo y Previsión Social </t>
  </si>
  <si>
    <t xml:space="preserve">Tribunal de Ética Gubernamental </t>
  </si>
  <si>
    <t xml:space="preserve">Ramo de Hacienda </t>
  </si>
  <si>
    <t xml:space="preserve">Ministerio de Relaciones Exteriores </t>
  </si>
  <si>
    <t xml:space="preserve">Consejo Nacional de la Judicatura </t>
  </si>
  <si>
    <t xml:space="preserve">Organo Judicial </t>
  </si>
  <si>
    <t xml:space="preserve">Procu. Gral. de la República </t>
  </si>
  <si>
    <t xml:space="preserve">Ramo de Salud Pública </t>
  </si>
  <si>
    <t>Ramo de Agricultura</t>
  </si>
  <si>
    <t xml:space="preserve">Ramo de Obras Públicas </t>
  </si>
  <si>
    <t xml:space="preserve">Ramo de Medio Ambiente </t>
  </si>
  <si>
    <t xml:space="preserve">Defensa Nacional </t>
  </si>
  <si>
    <t xml:space="preserve">Ramo de Seguridad Pública y Justicia </t>
  </si>
  <si>
    <t>FOPROLYD (Fondo de Protección de Lisiados )</t>
  </si>
  <si>
    <t xml:space="preserve">Fiscalía General de la República </t>
  </si>
  <si>
    <t xml:space="preserve">Ramo de Economía </t>
  </si>
  <si>
    <t xml:space="preserve">Procuraduría de los Derechos Humanos </t>
  </si>
  <si>
    <t xml:space="preserve">Viceminsiterio de Vivienda </t>
  </si>
  <si>
    <t xml:space="preserve">Instituto de Acceso a la Información </t>
  </si>
  <si>
    <t>b) MIREX</t>
  </si>
  <si>
    <t>c) FOMILENIO</t>
  </si>
  <si>
    <t>d) FISDL</t>
  </si>
  <si>
    <t xml:space="preserve">e) FOVIAL </t>
  </si>
  <si>
    <t>2) Resto del Gobierno General</t>
  </si>
  <si>
    <t>ISSS</t>
  </si>
  <si>
    <t>HOSPITALES</t>
  </si>
  <si>
    <t>Municipalidades *</t>
  </si>
  <si>
    <t xml:space="preserve">   Otras Instituciones del RGG</t>
  </si>
  <si>
    <t xml:space="preserve">ISNA </t>
  </si>
  <si>
    <t>ISTU</t>
  </si>
  <si>
    <t>ISDEMU</t>
  </si>
  <si>
    <t>CSS</t>
  </si>
  <si>
    <t xml:space="preserve">FONAES </t>
  </si>
  <si>
    <t>CNR</t>
  </si>
  <si>
    <t>FSV</t>
  </si>
  <si>
    <t xml:space="preserve">INDES </t>
  </si>
  <si>
    <t>ISRI</t>
  </si>
  <si>
    <t>UES</t>
  </si>
  <si>
    <t xml:space="preserve">CORSATUR </t>
  </si>
  <si>
    <t>CONAMYPE</t>
  </si>
  <si>
    <t>INJUVE</t>
  </si>
  <si>
    <t>DEFENSORÍA DEL CONSUMIDOR</t>
  </si>
  <si>
    <t>SECRETARIA DE LA CULTURA</t>
  </si>
  <si>
    <t>SECETARIA DE INCLUSION SOCIAL</t>
  </si>
  <si>
    <t>3) Empresas Públicas No Financieras</t>
  </si>
  <si>
    <t>CEL</t>
  </si>
  <si>
    <t>ANDA</t>
  </si>
  <si>
    <t>CEPA</t>
  </si>
  <si>
    <t>FUENTE: Dirección General de Inversión y Crédito Público y Dirección General de Tesorería</t>
  </si>
  <si>
    <t>* Incluye transferencias de FODES  a las Municipalidades</t>
  </si>
  <si>
    <t>PIB NOMINAL</t>
  </si>
  <si>
    <t>Inversión</t>
  </si>
  <si>
    <t>Estructura de la Deuda de Mediano y Largo Plazo</t>
  </si>
  <si>
    <t>a) Por tipo de acreedor</t>
  </si>
  <si>
    <t>Acreedor</t>
  </si>
  <si>
    <t>(Mill $)</t>
  </si>
  <si>
    <t>Inversionistas</t>
  </si>
  <si>
    <t>Multilateral</t>
  </si>
  <si>
    <t>Bilateral</t>
  </si>
  <si>
    <t>BCR</t>
  </si>
  <si>
    <t>(Dirección General de Inversión y Credito Público)</t>
  </si>
  <si>
    <t>( %)</t>
  </si>
  <si>
    <t>Tasas vigentes</t>
  </si>
  <si>
    <t>Menores de 3%</t>
  </si>
  <si>
    <t>Entre 3% y 6%</t>
  </si>
  <si>
    <t>Entre 6% y 8%</t>
  </si>
  <si>
    <t>Entre 8% y 9%</t>
  </si>
  <si>
    <t>c) Por Vencimientos, según Plazos Efectivos</t>
  </si>
  <si>
    <t>Plazos</t>
  </si>
  <si>
    <t>Entre 1-5 años</t>
  </si>
  <si>
    <t>Entre 6-10 años</t>
  </si>
  <si>
    <t>Entre 11-20 años</t>
  </si>
  <si>
    <t>Mayores de 20 años</t>
  </si>
  <si>
    <t>Saldos de la Deuda Total SPNF</t>
  </si>
  <si>
    <t>VARIABLES</t>
  </si>
  <si>
    <t>% PIB</t>
  </si>
  <si>
    <t>SALDO DEUDA TOTAL SPNF (1+2+3)</t>
  </si>
  <si>
    <t>1. DEUDA EXTERNA MEDIANO Y LARGO PLAZO</t>
  </si>
  <si>
    <t>Gobierno Central (sin eurobonos en poder de residentes)</t>
  </si>
  <si>
    <r>
      <t xml:space="preserve">Empresas Públicas no Financieras (EPNF)  </t>
    </r>
    <r>
      <rPr>
        <vertAlign val="superscript"/>
        <sz val="12"/>
        <color theme="1"/>
        <rFont val="Calibri"/>
        <family val="2"/>
        <scheme val="minor"/>
      </rPr>
      <t>1/</t>
    </r>
  </si>
  <si>
    <r>
      <t xml:space="preserve">Resto del Gobierno General (Municipalidades) y Otros  </t>
    </r>
    <r>
      <rPr>
        <vertAlign val="superscript"/>
        <sz val="12"/>
        <color theme="1"/>
        <rFont val="Calibri"/>
        <family val="2"/>
        <scheme val="minor"/>
      </rPr>
      <t>2/</t>
    </r>
  </si>
  <si>
    <r>
      <t xml:space="preserve">2. DEUDA INTERNA MEDIANO Y LARGO PLAZO  </t>
    </r>
    <r>
      <rPr>
        <b/>
        <vertAlign val="superscript"/>
        <sz val="12"/>
        <color theme="1"/>
        <rFont val="Calibri"/>
        <family val="2"/>
        <scheme val="minor"/>
      </rPr>
      <t>3/</t>
    </r>
  </si>
  <si>
    <t>Gobierno Central (con eurobonos en poder de residentes)</t>
  </si>
  <si>
    <t xml:space="preserve">Empresas Públicas no Financieras (EPNF)  </t>
  </si>
  <si>
    <t xml:space="preserve">Resto Sector Público No Financiero y Otros </t>
  </si>
  <si>
    <t>3. DEUDA DE CORTO PLAZO (LETES valor precio)</t>
  </si>
  <si>
    <t>PRODUCTO INTERNO BRUTO</t>
  </si>
  <si>
    <t>4. Información Complementaria</t>
  </si>
  <si>
    <t>Fideicomisos:</t>
  </si>
  <si>
    <t>FOP (CIP Series A)</t>
  </si>
  <si>
    <t>SALDO DEUDA TOTAL SPNF (con FOP Serie A y FOSEDU)</t>
  </si>
  <si>
    <t>Fuente: Ministerio de Hacienda.</t>
  </si>
  <si>
    <r>
      <rPr>
        <vertAlign val="superscript"/>
        <sz val="10"/>
        <color theme="1"/>
        <rFont val="Arial"/>
        <family val="2"/>
      </rPr>
      <t>1/</t>
    </r>
    <r>
      <rPr>
        <sz val="10"/>
        <color theme="1"/>
        <rFont val="Arial"/>
        <family val="2"/>
      </rPr>
      <t xml:space="preserve"> A partir de 2006 incluye deuda sin garantía del GOES.</t>
    </r>
  </si>
  <si>
    <r>
      <rPr>
        <vertAlign val="superscript"/>
        <sz val="10"/>
        <color theme="1"/>
        <rFont val="Arial"/>
        <family val="2"/>
      </rPr>
      <t>2/</t>
    </r>
    <r>
      <rPr>
        <sz val="10"/>
        <color theme="1"/>
        <rFont val="Arial"/>
        <family val="2"/>
      </rPr>
      <t xml:space="preserve"> A partir de 2008 incluye deuda sin garantía del GOES.</t>
    </r>
  </si>
  <si>
    <r>
      <rPr>
        <vertAlign val="superscript"/>
        <sz val="10"/>
        <color theme="1"/>
        <rFont val="Arial"/>
        <family val="2"/>
      </rPr>
      <t>3/</t>
    </r>
    <r>
      <rPr>
        <sz val="10"/>
        <color theme="1"/>
        <rFont val="Arial"/>
        <family val="2"/>
      </rPr>
      <t xml:space="preserve"> No incluye deuda interna de las Municipalidades contratada directamente sin garantía del GOES.</t>
    </r>
  </si>
  <si>
    <t>Descripción</t>
  </si>
  <si>
    <t>Valor</t>
  </si>
  <si>
    <t xml:space="preserve">% del PIB </t>
  </si>
  <si>
    <t>Por Deudor</t>
  </si>
  <si>
    <t xml:space="preserve">Deuda Externa </t>
  </si>
  <si>
    <t>Gobierno Central</t>
  </si>
  <si>
    <t>Resto del Gobierno General</t>
  </si>
  <si>
    <t>Empresas Públicas No Financieras</t>
  </si>
  <si>
    <t xml:space="preserve">Deuda Interna </t>
  </si>
  <si>
    <t>Por Acreedor</t>
  </si>
  <si>
    <t xml:space="preserve">Multilateral </t>
  </si>
  <si>
    <t xml:space="preserve">BID </t>
  </si>
  <si>
    <t>BIRF</t>
  </si>
  <si>
    <t xml:space="preserve">BCIE </t>
  </si>
  <si>
    <t xml:space="preserve">Otros </t>
  </si>
  <si>
    <t xml:space="preserve">Bilateral </t>
  </si>
  <si>
    <t xml:space="preserve">Japón (JBIC) </t>
  </si>
  <si>
    <t>Alemania (KFW)</t>
  </si>
  <si>
    <t>PL-480</t>
  </si>
  <si>
    <t>España</t>
  </si>
  <si>
    <t xml:space="preserve">Deuda Comercial </t>
  </si>
  <si>
    <t xml:space="preserve">Bonos </t>
  </si>
  <si>
    <t xml:space="preserve">LETES </t>
  </si>
  <si>
    <t>Fideicomisos de Obligaciones Previsionales</t>
  </si>
  <si>
    <t xml:space="preserve">Total </t>
  </si>
  <si>
    <t xml:space="preserve">Fuente: Ministerio de Hacienda </t>
  </si>
  <si>
    <t>EJECUCION FISCAL DEL SECTOR PUBLICO NO FINANCIERO (SPNF) ENERO - DICIEMBRE 2011</t>
  </si>
  <si>
    <t>Total 2011</t>
  </si>
  <si>
    <t>EJECUCION FISCAL DEL SECTOR PUBLICO NO FINANCIERO (SPNF) ENERO-DICIEMBRE 2011</t>
  </si>
  <si>
    <t>EJECUCION FISCAL DEL SECTOR PUBLICO NO FINANCIERO (SPNF) ENERO - DICIEMBRE 2012</t>
  </si>
  <si>
    <t>Total 2012</t>
  </si>
  <si>
    <t>EJECUCION FISCAL DEL SECTOR PUBLICO NO FINANCIERO (SPNF) ENERO-DICIEMBRE 2012</t>
  </si>
  <si>
    <t>EJECUCION FISCAL DEL SECTOR PUBLICO NO FINANCIERO (SPNF) ENERO - DICIEMBRE 2013</t>
  </si>
  <si>
    <t>Total 2013</t>
  </si>
  <si>
    <t>EJECUCION FISCAL DEL SECTOR PUBLICO NO FINANCIERO (SPNF) ENERO-DICIEMBRE 2013</t>
  </si>
  <si>
    <t>EJECUCION FISCAL DEL SECTOR PUBLICO NO FINANCIERO (SPNF) ENERO - DICIEMBRE 2014</t>
  </si>
  <si>
    <t>Total 2014</t>
  </si>
  <si>
    <t>EJECUCION FISCAL DEL SECTOR PUBLICO NO FINANCIERO (SPNF) ENERO-DICIEMBRE 2014</t>
  </si>
  <si>
    <t>EJECUCION FISCAL DEL SECTOR PUBLICO NO FINANCIERO (SPNF) ENERO - DICIEMBRE 2015</t>
  </si>
  <si>
    <t>Total 2015</t>
  </si>
  <si>
    <t>EJECUCION FISCAL DEL SECTOR PUBLICO NO FINANCIERO (SPNF) ENERO- DICIEMBRE 2015</t>
  </si>
  <si>
    <t>Total 2016</t>
  </si>
  <si>
    <t>Saldo, colocaciones y pagos de LETES  a diciembre 2014</t>
  </si>
  <si>
    <t>(Millones de US$)</t>
  </si>
  <si>
    <t>Valor Precio</t>
  </si>
  <si>
    <t>Valor Nominal</t>
  </si>
  <si>
    <t>Saldo de Letes 2008</t>
  </si>
  <si>
    <t>Colocaciones</t>
  </si>
  <si>
    <t xml:space="preserve">Enero </t>
  </si>
  <si>
    <t xml:space="preserve">Febrero </t>
  </si>
  <si>
    <t>Marzo</t>
  </si>
  <si>
    <t>Abril</t>
  </si>
  <si>
    <t>Mayo</t>
  </si>
  <si>
    <t>Junio</t>
  </si>
  <si>
    <t>Julio</t>
  </si>
  <si>
    <t>Agosto</t>
  </si>
  <si>
    <t>Septiembre</t>
  </si>
  <si>
    <t>Octubre</t>
  </si>
  <si>
    <t>Noviembre</t>
  </si>
  <si>
    <t>Diciembre</t>
  </si>
  <si>
    <t>Pagos</t>
  </si>
  <si>
    <t>noviembre</t>
  </si>
  <si>
    <t xml:space="preserve">Saldo al 31 de diciembre de 2009 </t>
  </si>
  <si>
    <t>Saldo al 31 de diciembre de 2010</t>
  </si>
  <si>
    <t>Saldo al 31 de diciembre de 2011</t>
  </si>
  <si>
    <t>Saldo al 31 de diciembre de 2012</t>
  </si>
  <si>
    <t>Saldo al 31 de Diciembre de 2013</t>
  </si>
  <si>
    <t>Saldo al 31 de Diciembre de 2014</t>
  </si>
  <si>
    <t>Saldo al 30 de Junio de 2015</t>
  </si>
  <si>
    <t>Saldo, colocaciones y pagos de LETES  a Diciembre 2015</t>
  </si>
  <si>
    <t>Saldo al 31 de Diciembre de 2010</t>
  </si>
  <si>
    <t>Saldo al 31 de Diciembre de 2011</t>
  </si>
  <si>
    <t>Saldo al 31 de Diciembre de 2012</t>
  </si>
  <si>
    <t>Saldo al 31 de Diciembre de 2015</t>
  </si>
  <si>
    <t>Actualizado 26 de Enero de 2016</t>
  </si>
  <si>
    <t>Saldo a Diciembre 2014</t>
  </si>
  <si>
    <t>Año 2015</t>
  </si>
  <si>
    <t>Total anual</t>
  </si>
  <si>
    <t>Saldo a Diciembre 2015</t>
  </si>
  <si>
    <t>Año 2016</t>
  </si>
  <si>
    <t>Actualizado 25 de Enero de 2017</t>
  </si>
  <si>
    <t>Saldo a Diciembre 2016</t>
  </si>
  <si>
    <t>Saldo, colocaciones y pagos de LETES  a Diciembre 2016</t>
  </si>
  <si>
    <t>Situación Financiera del SPNF, enero - diciembre de 2016</t>
  </si>
  <si>
    <t>Ingresos y Gastos del Gobierno Central, enero - diciembre de 2016</t>
  </si>
  <si>
    <t>Ingresos Totales del Gobierno Central, enero-diciembre de 2016</t>
  </si>
  <si>
    <t>EJECUCION FISCAL DEL SECTOR PUBLICO NO FINANCIERO (SPNF) ENERO - DICIEMBRE 2016</t>
  </si>
  <si>
    <t>GOBIERNO CENTRAL : Ejecución Presupuestaria Enero - Diciembre 2016</t>
  </si>
  <si>
    <t>Pendiente dato a diciembre</t>
  </si>
  <si>
    <t>agregar nota para explicar que el monto de tributarios no incluye contribuciones para la Seguridad Pulbica (Pto. Extraordinario)</t>
  </si>
  <si>
    <t>Serie B</t>
  </si>
  <si>
    <t>EJECUCION FISCAL DEL SECTOR PUBLICO NO FINANCIERO (SPNF) ENERO- DICIEMBRE 2016</t>
  </si>
  <si>
    <t>1) Gobierno Central Consolidado (a+b+c+d+e+f)</t>
  </si>
  <si>
    <t>RAMO DE SEGURIDAD PUBLICA (ANSP, Uni. Téc. Eje.)</t>
  </si>
  <si>
    <t xml:space="preserve">EDUCACIÓN </t>
  </si>
  <si>
    <t xml:space="preserve">PRESIDENCIA (INDES) </t>
  </si>
  <si>
    <t xml:space="preserve">DEFENSA NACIONAL </t>
  </si>
  <si>
    <t xml:space="preserve">FISCALIA GENERAL DE LA REPUBLICA </t>
  </si>
  <si>
    <t>RAMO DE SALUD (Hospitales)</t>
  </si>
  <si>
    <t>SIS</t>
  </si>
  <si>
    <t>INSAFORP</t>
  </si>
  <si>
    <t xml:space="preserve">** Incluye parte de la Contribución Especial para la Seguridad, específicamente los que se destina a Inversión. </t>
  </si>
  <si>
    <t>Tribunal del Servicio Civil</t>
  </si>
  <si>
    <t>d) Por monedas</t>
  </si>
  <si>
    <t>Monedas</t>
  </si>
  <si>
    <t>Dólares</t>
  </si>
  <si>
    <t>Yenes</t>
  </si>
  <si>
    <t>EUROS</t>
  </si>
  <si>
    <t>DEGS</t>
  </si>
  <si>
    <t>Vencimiento</t>
  </si>
  <si>
    <t>Años Plazos</t>
  </si>
  <si>
    <t>Cupón</t>
  </si>
  <si>
    <t>Demanda Momento de Colocación</t>
  </si>
  <si>
    <t>Spread to UST (pb) 6/</t>
  </si>
  <si>
    <t>Años al Vencimiento</t>
  </si>
  <si>
    <t>Moody's</t>
  </si>
  <si>
    <t xml:space="preserve">Fitch  </t>
  </si>
  <si>
    <t>Standard &amp; Poor's</t>
  </si>
  <si>
    <t>Baa3</t>
  </si>
  <si>
    <t>BB+</t>
  </si>
  <si>
    <t>403</t>
  </si>
  <si>
    <t>Ba1</t>
  </si>
  <si>
    <t>BB</t>
  </si>
  <si>
    <t xml:space="preserve">BB </t>
  </si>
  <si>
    <t>361</t>
  </si>
  <si>
    <t xml:space="preserve"> Baa3</t>
  </si>
  <si>
    <t>355.5</t>
  </si>
  <si>
    <t>Ba3</t>
  </si>
  <si>
    <t>BB-</t>
  </si>
  <si>
    <t>265</t>
  </si>
  <si>
    <t>349</t>
  </si>
  <si>
    <t>345</t>
  </si>
  <si>
    <t>240</t>
  </si>
  <si>
    <t>275</t>
  </si>
  <si>
    <t xml:space="preserve">Notas: </t>
  </si>
  <si>
    <t>6/ Spread to UST es el margen de la tasa de rendimiento exigido versus los Bonos de la Tesorería de los Estados Unidos a la fecha del presente informe.</t>
  </si>
  <si>
    <t>Reclasificacion (desde estadisticas a publicar a diciembre 2016)</t>
  </si>
  <si>
    <t>SALDO DEUDA TOTAL SPNF (1+2)</t>
  </si>
  <si>
    <r>
      <t xml:space="preserve">2. DEUDA INTERNA DE CORTO, MEDIANO Y LARGO PLAZO  </t>
    </r>
    <r>
      <rPr>
        <b/>
        <vertAlign val="superscript"/>
        <sz val="12"/>
        <color theme="1"/>
        <rFont val="Calibri"/>
        <family val="2"/>
        <scheme val="minor"/>
      </rPr>
      <t>3/</t>
    </r>
  </si>
  <si>
    <t>Información Complementaria</t>
  </si>
  <si>
    <t>SALDO DEUDA TOTAL SPNF (con FOP Serie A)</t>
  </si>
  <si>
    <t>Total 2017</t>
  </si>
  <si>
    <r>
      <rPr>
        <vertAlign val="superscript"/>
        <sz val="10"/>
        <color theme="1"/>
        <rFont val="Arial"/>
        <family val="2"/>
      </rPr>
      <t>1/</t>
    </r>
    <r>
      <rPr>
        <sz val="10"/>
        <color theme="1"/>
        <rFont val="Arial"/>
        <family val="2"/>
      </rPr>
      <t xml:space="preserve"> Incluye las Contribuciones Especiales (Fovial, FOSALUD, Turismo, Transporte, Azúcar  y Seguridad Pública)</t>
    </r>
  </si>
  <si>
    <r>
      <rPr>
        <vertAlign val="superscript"/>
        <sz val="10"/>
        <color theme="1"/>
        <rFont val="Arial"/>
        <family val="2"/>
      </rPr>
      <t>1/</t>
    </r>
    <r>
      <rPr>
        <sz val="10"/>
        <color theme="1"/>
        <rFont val="Arial"/>
        <family val="2"/>
      </rPr>
      <t xml:space="preserve"> Incluye las Contribuciones Especiales (Fovial, FOSALUD, Turismo, Transporte, Azúcar y Seguridad Pública)</t>
    </r>
  </si>
  <si>
    <t xml:space="preserve">Total 2017 </t>
  </si>
  <si>
    <t>Fuente: Dirección General de Tesorería; PIB nominales según BCR</t>
  </si>
  <si>
    <t>Seguridad Pública CESC</t>
  </si>
  <si>
    <t>Seguridad Pública CEGC</t>
  </si>
  <si>
    <t>9. Seguridad Pública (CESC y CEGC)</t>
  </si>
  <si>
    <t>9. Seguridad Pública (CECS y CEGC)</t>
  </si>
  <si>
    <t>b) Por Rango de Tasas vigentes</t>
  </si>
  <si>
    <t>Año 2017</t>
  </si>
  <si>
    <t>(Millones US$)</t>
  </si>
  <si>
    <t>Sumatoria</t>
  </si>
  <si>
    <t>CENTA</t>
  </si>
  <si>
    <t>Comunicación</t>
  </si>
  <si>
    <t xml:space="preserve">Industria, Comercio y Turismo </t>
  </si>
  <si>
    <t xml:space="preserve">Previsión Social </t>
  </si>
  <si>
    <t xml:space="preserve">Educación y Cultura    </t>
  </si>
  <si>
    <t xml:space="preserve">Deporte y Recreación </t>
  </si>
  <si>
    <t>Asistencia Social</t>
  </si>
  <si>
    <t>Vivienda</t>
  </si>
  <si>
    <t>Multisectorial</t>
  </si>
  <si>
    <t xml:space="preserve">Seguridad </t>
  </si>
  <si>
    <t xml:space="preserve">Justicia </t>
  </si>
  <si>
    <t>(Expresada en millones de dólares)</t>
  </si>
  <si>
    <t>SECTORES</t>
  </si>
  <si>
    <t>%</t>
  </si>
  <si>
    <t>Fecha Emisión</t>
  </si>
  <si>
    <t>Monto Emitido Millones de US$</t>
  </si>
  <si>
    <t># de Veces Libro</t>
  </si>
  <si>
    <t>350</t>
  </si>
  <si>
    <t>B3</t>
  </si>
  <si>
    <t>B-</t>
  </si>
  <si>
    <t>B</t>
  </si>
  <si>
    <t>2/ Sobreprecio que pagó el mercado nacional (AFPs y otros) por utilidades de sobreprecio que se dejo al mercado  internacional. Calculado sobre el monto total colocado.</t>
  </si>
  <si>
    <t>4/ Precios a la fecha del presente informe. Fuente: Bloomberg.</t>
  </si>
  <si>
    <t>5/ Rendimiento manteniendo los títulos al vencimiento, exigido por el mercado a la fecha del presente informe</t>
  </si>
  <si>
    <t>Saldo Deudor</t>
  </si>
  <si>
    <t>Monto</t>
  </si>
  <si>
    <t xml:space="preserve">Seguridad Pública y Justicia </t>
  </si>
  <si>
    <t>f) CESP **</t>
  </si>
  <si>
    <t>TBR</t>
  </si>
  <si>
    <t>INGRESOS DEL GOBIERNO CENTRAL:  Enero-Diciembre de 2017</t>
  </si>
  <si>
    <t>GOBIERNO CENTRAL : Ejecución Presupuestaria Enero - Diciembre 2017</t>
  </si>
  <si>
    <t>EJECUCION FISCAL DEL SECTOR PUBLICO NO FINANCIERO (SPNF) ENERO - DICIEMBRE 2017</t>
  </si>
  <si>
    <t>EJECUCION FISCAL DEL SECTOR PUBLICO NO FINANCIERO (SPNF) ENERO- DICIEMBRE 2017</t>
  </si>
  <si>
    <t>Situación Financiera del SPNF, enero - diciembre de 2017</t>
  </si>
  <si>
    <t>Ingresos y Gastos del Gobierno Central, enero - diciembre de 2017</t>
  </si>
  <si>
    <t>Ingresos Totales del Gobierno Central, enero-diciembre de 2017</t>
  </si>
  <si>
    <t xml:space="preserve">PROCURADURIA GENERAL DE LA REPÚBLICA </t>
  </si>
  <si>
    <t xml:space="preserve">RAMO DE AGRICULTURA Y GANADERÍA </t>
  </si>
  <si>
    <t>ENA</t>
  </si>
  <si>
    <t>Costo de Pensiones</t>
  </si>
  <si>
    <t>c/pensiones</t>
  </si>
  <si>
    <t>% PIB c/ pensiones</t>
  </si>
  <si>
    <t>s/pensiones</t>
  </si>
  <si>
    <t>% PIB s/ pensiones</t>
  </si>
  <si>
    <t>% PIB c/pensiones</t>
  </si>
  <si>
    <t>% PIB s/pensiones</t>
  </si>
  <si>
    <t>En 2017 el rubro de otros ingresos corrientes incluye entre otras fuentes: ingresos por la concesión del espectro radioléctrico e ingresos por la venta de acciones de ingenios azucareros.</t>
  </si>
  <si>
    <t>6. otros 3/</t>
  </si>
  <si>
    <t>3/ Incluye: ingresos por la concesión del espectro radioléctrico e ingresos por la venta de acciones de ingenios azucareros, entre otras fuentes.</t>
  </si>
  <si>
    <t>en millones de US$</t>
  </si>
  <si>
    <t xml:space="preserve">NCTP EMITIDAS POR TIPO </t>
  </si>
  <si>
    <t>CONCEPTO</t>
  </si>
  <si>
    <t xml:space="preserve">PAGO DE IMPUESTOS CON NCTP POR TIPO DE DEVOLUCION </t>
  </si>
  <si>
    <t>Reintegro IVA Exportadores</t>
  </si>
  <si>
    <t xml:space="preserve">Incentivo Fiscal del 6% </t>
  </si>
  <si>
    <t>Deuda ANDA</t>
  </si>
  <si>
    <t>Subsidio Gas Licuado de Petróleo</t>
  </si>
  <si>
    <t>Subsidio Consumo de energía Eléctrica Residencial</t>
  </si>
  <si>
    <t>Deuda (pensiones)</t>
  </si>
  <si>
    <t>% del PIB c/pensiones</t>
  </si>
  <si>
    <t>% del PIB s/pensiones</t>
  </si>
  <si>
    <t>% de Ejec. Devengado 2018</t>
  </si>
  <si>
    <t xml:space="preserve">1/ Esta constituido por: productos alcohólicos, gaseosas, cervezas, cigarrillos, armas y explosivos, e impuesto especial sobre combustibles. </t>
  </si>
  <si>
    <t xml:space="preserve">Total 2018 </t>
  </si>
  <si>
    <t>Total 2018</t>
  </si>
  <si>
    <t>Presidencia de la Republica</t>
  </si>
  <si>
    <t xml:space="preserve">PROCURADURIA PARA LA DEFENSA DE LOS DERECHOS HUMANOS </t>
  </si>
  <si>
    <t xml:space="preserve">TOTAL  </t>
  </si>
  <si>
    <t>Año 2018</t>
  </si>
  <si>
    <t>US Treasury Momento de Colocadión</t>
  </si>
  <si>
    <t>Precio de la Emisión      (% del valor par)</t>
  </si>
  <si>
    <t xml:space="preserve"> Precio Promedio al que compraron las AFP</t>
  </si>
  <si>
    <t>Resulatdo de Precios  (Millones de US$) 2/</t>
  </si>
  <si>
    <t>Calificadoras 3/</t>
  </si>
  <si>
    <t>Precio de Mercado 4/</t>
  </si>
  <si>
    <t>Rendimiento al Vencimiento 5/</t>
  </si>
  <si>
    <t>G Spread (pb) 7/</t>
  </si>
  <si>
    <t>Veces</t>
  </si>
  <si>
    <t>300</t>
  </si>
  <si>
    <t>1/</t>
  </si>
  <si>
    <t>2023 Put</t>
  </si>
  <si>
    <t>2/</t>
  </si>
  <si>
    <t>2034 Put</t>
  </si>
  <si>
    <t xml:space="preserve">7/ G Spread  es la porción de la tasa de interés transada que constituye la prima de riesgo soberano exigida a los títulos salvadoreños, calculada obteniendo la  diferencia entre la tasa transada en el Mercado Secundario </t>
  </si>
  <si>
    <t xml:space="preserve"> y la correspondiente tasa de los Bonos del Gobierno de los Estados Unidos a un plazo similar.</t>
  </si>
  <si>
    <r>
      <t xml:space="preserve">2/ </t>
    </r>
    <r>
      <rPr>
        <b/>
        <sz val="16"/>
        <color theme="1"/>
        <rFont val="Arial"/>
        <family val="2"/>
      </rPr>
      <t>Opción Put</t>
    </r>
    <r>
      <rPr>
        <sz val="16"/>
        <color theme="1"/>
        <rFont val="Arial"/>
        <family val="2"/>
      </rPr>
      <t>: Significa que los inversionistas pueden anticipar la redención del bono.</t>
    </r>
  </si>
  <si>
    <t>Situación Financiera del SPNF, enero - diciembre de 2018</t>
  </si>
  <si>
    <t>Ingresos y Gastos del Gobierno Central, enero - diciembre de 2018</t>
  </si>
  <si>
    <t>Ingresos Totales del Gobierno Central, enero-diciembre de 2018</t>
  </si>
  <si>
    <t>INGRESOS DEL GOBIERNO CENTRAL:  Enero-Diciembre de 2018</t>
  </si>
  <si>
    <t>INGRESOS DEL GOBIERNO CENTRAL:  2013 - 2018</t>
  </si>
  <si>
    <t>GOBIERNO CENTRAL : Ejecución Presupuestaria Enero - Diciembre 2018</t>
  </si>
  <si>
    <t>EJECUCION FISCAL DEL SECTOR PUBLICO NO FINANCIERO (SPNF) ENERO - DICIEMBRE 2018</t>
  </si>
  <si>
    <t>EJECUCION FISCAL DEL SECTOR PUBLICO NO FINANCIERO (SPNF) ENERO-DICIEMBRE 2018</t>
  </si>
  <si>
    <t>Actualizado 08 Febrero 2018</t>
  </si>
  <si>
    <t>Ministerio de Cultura</t>
  </si>
  <si>
    <t>ISBM</t>
  </si>
  <si>
    <t>Gasto Público por Areas de Gestión 2013 - 2018</t>
  </si>
  <si>
    <t>Ramo de Cultura</t>
  </si>
  <si>
    <r>
      <rPr>
        <b/>
        <sz val="15"/>
        <color theme="1"/>
        <rFont val="Arial"/>
        <family val="2"/>
      </rPr>
      <t>Fuente:</t>
    </r>
    <r>
      <rPr>
        <sz val="15"/>
        <color theme="1"/>
        <rFont val="Arial"/>
        <family val="2"/>
      </rPr>
      <t xml:space="preserve"> Dirección de Política Económica y Fiscal, Dirección de Inversión y Crédito Público, con datos de Circulares de Oferta, BCR, Credit Suisse, Bloomberg y Agencias Calificadoras de Riesgo.</t>
    </r>
  </si>
  <si>
    <t>1/ La emisión 2002 es una reapertura de la emisión 2001, por lo tanto los plazos en años son similares.  De igual forma se le ha dado tratamiento a los bonos emitidos en 2006.</t>
  </si>
  <si>
    <t>1. Excluyendo Pensiones</t>
  </si>
  <si>
    <t>2. Incluyendo Pensiones</t>
  </si>
  <si>
    <t>IV. BALANCE PRIMARIO (No incluye intereses)</t>
  </si>
  <si>
    <t xml:space="preserve">2. Incluyendo Pensiones </t>
  </si>
  <si>
    <t xml:space="preserve">1. Excluyendo Pensiones </t>
  </si>
  <si>
    <t>Situación Financiera del Sector Público No Financiero (SPNF), 2014 - a junio 2019</t>
  </si>
  <si>
    <t>Situación Financiera del SPNF, 2014 - a junio 2019  (% del PIB)</t>
  </si>
  <si>
    <t>Déficit del SPNF, 2014 - a junio 2019 (Gráfico)</t>
  </si>
  <si>
    <t>Balance Primario del SPNF, 2014 - a junio 2019 Sin Intereses  (Gráfico)</t>
  </si>
  <si>
    <t>Situación Financiera del SPNF, enero - junio de 2019</t>
  </si>
  <si>
    <t>Situación Financiera del SPNF, enero - junio de 2019 (% del PIB)</t>
  </si>
  <si>
    <t xml:space="preserve">Ingresos y Gastos del Gobierno Central,  2014 - a junio 2019 </t>
  </si>
  <si>
    <t>Ingresos y Gastos del Gobierno Central, enero - junio de 2019</t>
  </si>
  <si>
    <t xml:space="preserve">Ingresos del Gobierno Central, 2014 - a junio 2019 </t>
  </si>
  <si>
    <t xml:space="preserve">Carga Tributaria Bruta, 2014 - a junio 2019  (Gráfico)                                                                                                       </t>
  </si>
  <si>
    <t>Ingresos del Gobierno Central, 2014 - a junio 2019 (% del PIB)</t>
  </si>
  <si>
    <t xml:space="preserve">Composición de la Carga Tributaria Bruta, 2014 - a junio 2019  (Gráfico)                                                                                   </t>
  </si>
  <si>
    <t xml:space="preserve">Estructura de los Ingresos Tributarios Brutos,  2014 - a junio 2019 (Gráfico)                                               </t>
  </si>
  <si>
    <t xml:space="preserve">Ingresos Tributarios por Fuentes, 2014 - a junio 2019 (Gráfico)                                                                                                 </t>
  </si>
  <si>
    <t>Ingresos Totales del Gobierno Central, enero-junio de 2019</t>
  </si>
  <si>
    <t>Ingresos Tributarios del Gobierno Central, 2014-a junio 2019</t>
  </si>
  <si>
    <t>Ingresos Tributarios del Gobierno Central, 2014-a junio 2019 (porcentajes de participación)</t>
  </si>
  <si>
    <t>Ingresos Tributarios del Gobierno Central, 2014-a junio 2019 (porcentajes de PIB)</t>
  </si>
  <si>
    <t xml:space="preserve">Gasto Público por Áreas de Gestión Gobierno Central, 2014 - a junio 2019  </t>
  </si>
  <si>
    <t>Gasto Público por Áreas de Gestión Gobierno Central, 2014 - a junio 2019 (Gráfico)</t>
  </si>
  <si>
    <t>Gastos  por Áreas de Gestión del Gobierno Central, a junio 2018 - 2019</t>
  </si>
  <si>
    <t xml:space="preserve">Estructura  Económica del Gasto del Gobierno Central, a junio 2018 -2019 </t>
  </si>
  <si>
    <t>Ejecución Presupuestaria del Gasto por unidades primarias, 2014 - a junio 2019</t>
  </si>
  <si>
    <t xml:space="preserve">Ejecución Presupuestaria del Gasto por unidades primarias, a junio 2018 - 2019 </t>
  </si>
  <si>
    <t xml:space="preserve">Subsidios y Devoluciones de Impuestos, 2014 - a junio 2019 </t>
  </si>
  <si>
    <t xml:space="preserve">Notas de Crédito del Tesoro Público (NCTP), 2014 - a junio 2019 </t>
  </si>
  <si>
    <t>Inversión Pública Bruta del SPNF, 2014 - a junio 2019 (Gráfico)</t>
  </si>
  <si>
    <t xml:space="preserve">Inversión Pública Bruta del SPNF por instituciones, a junio 2018 - 2019   </t>
  </si>
  <si>
    <t>Inversión Pública Bruta del SPNF por actividad, a junio 2018 - 2019</t>
  </si>
  <si>
    <t xml:space="preserve">Saldo de la Deuda total del SPNF por Deudor, 2014 - a junio 2019                                    </t>
  </si>
  <si>
    <t>Saldo de la Deuda total del SPNF, a junio 2018 - 2019</t>
  </si>
  <si>
    <t xml:space="preserve">Tendencia de la Deuda total SPNF, 2014 - a junio 2019 (Gráfico)                                               </t>
  </si>
  <si>
    <t>Perfil de Deuda del SPNF,  a junio de 2019</t>
  </si>
  <si>
    <t>Saldo, colocación y pagos de LETES, de enero 2018 a junio de 2019</t>
  </si>
  <si>
    <t xml:space="preserve">SECTOR PUBLICO NO FINANCIERO ( S P N F ) Ejecución Fiscal  2014 - a junio 2019 </t>
  </si>
  <si>
    <t>2019 Jun.</t>
  </si>
  <si>
    <t>SECTOR PUBLICO NO FINANCIERO ( S P N F ) Ejecución Fiscal 2014 - a junio 2019</t>
  </si>
  <si>
    <t>Deficit SPNF 2014 - a junio 2019 Incluyendo pensiones y Fosedu</t>
  </si>
  <si>
    <t>Deficit SPNF 2014 - a junio 2019 sin intereses e incluyendo pensiones</t>
  </si>
  <si>
    <t>EJECUCION FISCAL DEL SECTOR PUBLICO NO FINANCIERO (SPNF) ENERO - JUNIO 2019</t>
  </si>
  <si>
    <t>Total 2019</t>
  </si>
  <si>
    <t>EJECUCION FISCAL DEL SECTOR PUBLICO NO FINANCIERO (SPNF) ENERO-JUNIO 2019</t>
  </si>
  <si>
    <t xml:space="preserve">GOBIERNO CENTRAL : Ejecución Presupuestaria, 2014 - a junio 2019 </t>
  </si>
  <si>
    <t xml:space="preserve">Total 2019 </t>
  </si>
  <si>
    <t>Ingresos Tributarios por Fuente 2014 - a junio 2019</t>
  </si>
  <si>
    <t>Composición de la Carga Tributaria 2014 - a junio 2019,  % del PIB</t>
  </si>
  <si>
    <t>Composición de la Carga Tributaria 2014 - junio 2019,  % del PIB</t>
  </si>
  <si>
    <t>Carga Tributaria Bruta 2014 - a junio 2019</t>
  </si>
  <si>
    <t>Gasto Publico por áreas de gestión Gobierno Central 2014 - a junio 2019</t>
  </si>
  <si>
    <t>Notas de Crédito del Tesoro Público 2014 - a junio 2019</t>
  </si>
  <si>
    <t>Inversión Pública Bruta del SPNF 2014 - a junio 2019</t>
  </si>
  <si>
    <t>SPNF: Saldo de la Deuda con Fideicomisos /1991- 2019 Jun.</t>
  </si>
  <si>
    <t>Estructura del Sector Público No Financiero</t>
  </si>
  <si>
    <t>Introducción</t>
  </si>
  <si>
    <t>Actualizado 25 de Julio de 2019</t>
  </si>
  <si>
    <t>Saldos</t>
  </si>
  <si>
    <t>Saldo, colocaciones y pagos de LETES  a Junio 2019</t>
  </si>
  <si>
    <t>Año 2019</t>
  </si>
  <si>
    <t>Total a junio 2019</t>
  </si>
  <si>
    <t>Junio de 2019</t>
  </si>
  <si>
    <t>Fuente Perfil de Deuda a Junio 2018</t>
  </si>
  <si>
    <t>Estructura de la Deuda de Mediano y Largo Plazo, a Junio 2019</t>
  </si>
  <si>
    <t>Saldo de la Deuda del SPNF a junio 2018 - 2019</t>
  </si>
  <si>
    <t>Saldo   2018</t>
  </si>
  <si>
    <t>Saldo  2019</t>
  </si>
  <si>
    <t xml:space="preserve">CETES </t>
  </si>
  <si>
    <t>EUROBONOS EN PODER DE RESIDENTES*</t>
  </si>
  <si>
    <t>2019 US$800 Millones</t>
  </si>
  <si>
    <t>2023 US$ 800,0 Millones</t>
  </si>
  <si>
    <t xml:space="preserve">2025 US$800.0 Millones </t>
  </si>
  <si>
    <t xml:space="preserve">2027 US$800 Millones </t>
  </si>
  <si>
    <t xml:space="preserve">2029 US$800 Millones </t>
  </si>
  <si>
    <t>2032 US$500 Millones</t>
  </si>
  <si>
    <t>2034 US$286.5 Millones</t>
  </si>
  <si>
    <t>2035 US$1000.0 Millones</t>
  </si>
  <si>
    <t xml:space="preserve">2041 US$653.5 Millones </t>
  </si>
  <si>
    <t>EJECUCIÓN FINANCIERA A JUNIO 2018 - 2019</t>
  </si>
  <si>
    <t>CEFAFA</t>
  </si>
  <si>
    <t>Inversión Pública por Actividad, a junio 2018 - 2019</t>
  </si>
  <si>
    <t>INVERSION PUBLICA POR SECTOR DE ACTIVIDAD, A JUNIO  2018</t>
  </si>
  <si>
    <t>Cifra acumulada a junio 2018 SPNF</t>
  </si>
  <si>
    <t>INGRESOS TRIBUTARIOS BRUTOS DEL GOBIERNO CENTRAL:  Enero-Junio de 2014 a 2019</t>
  </si>
  <si>
    <t>INGRESOS DEL GOBIERNO CENTRAL:  Enero-Junio de 2019</t>
  </si>
  <si>
    <t>INGRESOS DEL GOBIERNO CENTRAL:  2014 - junio 2019</t>
  </si>
  <si>
    <t>GOBIERNO CENTRAL : Ejecución Presupuestaria Enero - Junio 2019</t>
  </si>
  <si>
    <t>Gastos  del Gobierno Central, a junio 2018 - 2019</t>
  </si>
  <si>
    <t>% de Ejec. Devengado 2019</t>
  </si>
  <si>
    <t xml:space="preserve">Gastos ejecutados por Instituciones del Gobierno Central, a junio 2018 - 2019 </t>
  </si>
  <si>
    <t>Ramo de Educación, Ciencia y Tecnología</t>
  </si>
  <si>
    <t>Fuente: para años 2013 a 2018 según Informes de la Gestión Financiera del Estado</t>
  </si>
  <si>
    <t>para año 2019, según Dirección General del Presupuesto</t>
  </si>
  <si>
    <t>Fuente: para años 2012 a 2018 según Informes de la Gestión Financiera del Estado</t>
  </si>
  <si>
    <t>Gastos por Areas de Gestión  del Gobierno Central, a junio 2018 - 2019</t>
  </si>
  <si>
    <t xml:space="preserve">Año 2019, reporte sobre Situación Presupuestaria por Área de Gestión a junio 2019, DGP. </t>
  </si>
  <si>
    <t>Fuente: Según Resumen de la Ejecución Presupuestaria de Gasto, cifras preliminares a junio de cada año, emitido por la Dirección General del Presupuesto</t>
  </si>
  <si>
    <t>Fuente Perfil de Deuda a junio 2019</t>
  </si>
  <si>
    <t>EMISIONES DE BONOS DE EL SALVADOR  2002-2019</t>
  </si>
  <si>
    <t>Informe del Mercado al 9 de agosto de 2019</t>
  </si>
  <si>
    <t>2050 Call</t>
  </si>
  <si>
    <r>
      <t xml:space="preserve">3/ Calificaciones al momento de la emisión.  No obstante, a la fecha de este informe (9-Ago-19) las calificaciones de </t>
    </r>
    <r>
      <rPr>
        <b/>
        <sz val="18"/>
        <color theme="1"/>
        <rFont val="Arial"/>
        <family val="2"/>
      </rPr>
      <t>Moody's/Standard &amp; Poor's/Fitch</t>
    </r>
    <r>
      <rPr>
        <sz val="16"/>
        <color theme="1"/>
        <rFont val="Arial"/>
        <family val="2"/>
      </rPr>
      <t xml:space="preserve"> para todos los eurobonos eran  </t>
    </r>
    <r>
      <rPr>
        <b/>
        <sz val="18"/>
        <color theme="1"/>
        <rFont val="Arial"/>
        <family val="2"/>
      </rPr>
      <t>B3/B-/B-</t>
    </r>
  </si>
  <si>
    <t>6/</t>
  </si>
  <si>
    <t>Spread (pb) Momento de Colocación</t>
  </si>
  <si>
    <t>Fuente:  Informe de Gestión Financiera del Estado años 2014-2018, emitido por la Dirección General de Contabilidad Gubernamental, e Informe de Seguimiento de los Resultados Presupuestarios del Gobierno Central, cifras preliminares al mes de junio 2019, emitido por la Dirección General del Presupuesto.</t>
  </si>
  <si>
    <t>e Informe de Seguimiento y Evaluación de los Resultados Prepuestarios del Gobierno Central, cifras preliminares a junio 2019, emitido por la Dirección General del Presupuesto</t>
  </si>
  <si>
    <t>Fuente:  Informe se Seguimiento y Evaluación de los Resultados Presupuestarios del Gobierno Central al mes de junio de cada año; emitidos por la Dirección General del Presupuesto.</t>
  </si>
  <si>
    <t>Presupuesto Modificado</t>
  </si>
  <si>
    <t xml:space="preserve">Presupuesto Votado </t>
  </si>
  <si>
    <t xml:space="preserve">Fuente: Según Informe de Seguimiento y Evaluación de los Resultados Presupuestarios del Gobierno Central, cifras preliminares a junio de cada año; Dirección General del Presupuesto. </t>
  </si>
  <si>
    <t>6/ La República puede redimimir opcionalmente los bonos antes del 20 de julio de 2049, al precio que resultare mayor entre a) valor presente de los flujos futuros descontados a la tasa de Tesorería más 50 puntos base; y b) 100% del principal pendiente de pago.</t>
  </si>
  <si>
    <t>IT</t>
  </si>
  <si>
    <t>Letras del Tesoro - LETES (Valor precio)</t>
  </si>
  <si>
    <t>Certificados del Tesoro - CETES</t>
  </si>
  <si>
    <t>Saldo de Fideicomiso de Obligaciones Previsionales</t>
  </si>
  <si>
    <t>Saldo de deuda  sin Fideicomiso</t>
  </si>
  <si>
    <t>Saldo de deuda Total con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</si>
</sst>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
    <numFmt numFmtId="166" formatCode="0_);\(0\)"/>
    <numFmt numFmtId="167" formatCode="_(* #,##0.0_);_(* \(#,##0.0\);_(* &quot;-&quot;_);_(@_)"/>
    <numFmt numFmtId="168" formatCode="#,##0.0_);\(#,##0.0\)"/>
    <numFmt numFmtId="169" formatCode="0.0"/>
    <numFmt numFmtId="170" formatCode="_(* #,##0.0_);_(* \(#,##0.0\);_(* &quot;-&quot;??_);_(@_)"/>
    <numFmt numFmtId="171" formatCode="0.000%"/>
    <numFmt numFmtId="172" formatCode="0.0%"/>
    <numFmt numFmtId="173" formatCode="_(* #,##0.0_);_(* \(#,##0.0\);_(* &quot;-&quot;?_);_(@_)"/>
    <numFmt numFmtId="174" formatCode="0.0000%"/>
  </numFmts>
  <fonts count="73">
    <font>
      <sz val="11"/>
      <color theme="1"/>
      <name val="Calibri"/>
      <family val="2"/>
      <scheme val="minor"/>
    </font>
    <font>
      <sz val="11"/>
      <name val="Calibri"/>
      <family val="2"/>
    </font>
    <font>
      <sz val="11"/>
      <name val="Calibri"/>
      <family val="2"/>
    </font>
    <font>
      <sz val="11"/>
      <color theme="1"/>
      <name val="Calibri"/>
      <family val="2"/>
      <scheme val="minor"/>
    </font>
    <font>
      <b/>
      <sz val="11"/>
      <color theme="1"/>
      <name val="Calibri"/>
      <family val="2"/>
      <scheme val="minor"/>
    </font>
    <font>
      <b/>
      <sz val="26"/>
      <color theme="1"/>
      <name val="Calibri"/>
      <family val="2"/>
      <scheme val="minor"/>
    </font>
    <font>
      <sz val="11"/>
      <color theme="1"/>
      <name val="Arial"/>
      <family val="2"/>
    </font>
    <font>
      <b/>
      <sz val="14"/>
      <color theme="1"/>
      <name val="Calibri"/>
      <family val="2"/>
      <scheme val="minor"/>
    </font>
    <font>
      <sz val="12"/>
      <color theme="1"/>
      <name val="Calibri"/>
      <family val="2"/>
      <scheme val="minor"/>
    </font>
    <font>
      <b/>
      <sz val="12"/>
      <color theme="1"/>
      <name val="Calibri"/>
      <family val="2"/>
      <scheme val="minor"/>
    </font>
    <font>
      <b/>
      <sz val="11"/>
      <color theme="1"/>
      <name val="Arial"/>
      <family val="2"/>
    </font>
    <font>
      <sz val="10"/>
      <color theme="1"/>
      <name val="Arial"/>
      <family val="2"/>
    </font>
    <font>
      <sz val="11"/>
      <name val="Calibri"/>
      <family val="2"/>
      <scheme val="minor"/>
    </font>
    <font>
      <sz val="12"/>
      <name val="Calibri"/>
      <family val="2"/>
      <scheme val="minor"/>
    </font>
    <font>
      <sz val="16"/>
      <color rgb="FF000000"/>
      <name val="Arial"/>
      <family val="2"/>
    </font>
    <font>
      <sz val="10"/>
      <name val="Arial"/>
      <family val="2"/>
    </font>
    <font>
      <sz val="14"/>
      <name val="Calibri"/>
      <family val="2"/>
    </font>
    <font>
      <sz val="11"/>
      <color rgb="FF000000"/>
      <name val="Arial"/>
      <family val="2"/>
    </font>
    <font>
      <b/>
      <sz val="12"/>
      <name val="Calibri"/>
      <family val="2"/>
      <scheme val="minor"/>
    </font>
    <font>
      <sz val="11"/>
      <name val="Calibri"/>
      <family val="2"/>
    </font>
    <font>
      <b/>
      <vertAlign val="superscript"/>
      <sz val="16"/>
      <name val="Calibri"/>
      <family val="2"/>
    </font>
    <font>
      <b/>
      <sz val="12"/>
      <name val="Calibri"/>
      <family val="2"/>
    </font>
    <font>
      <b/>
      <sz val="14"/>
      <name val="Calibri"/>
      <family val="2"/>
    </font>
    <font>
      <b/>
      <u val="singleAccounting"/>
      <sz val="12"/>
      <name val="Calibri"/>
      <family val="2"/>
    </font>
    <font>
      <sz val="12"/>
      <name val="Calibri"/>
      <family val="2"/>
    </font>
    <font>
      <sz val="12"/>
      <color theme="0"/>
      <name val="Calibri"/>
      <family val="2"/>
    </font>
    <font>
      <sz val="12"/>
      <name val="Arial"/>
      <family val="2"/>
    </font>
    <font>
      <b/>
      <u/>
      <sz val="12"/>
      <name val="Arial"/>
      <family val="2"/>
    </font>
    <font>
      <b/>
      <u/>
      <sz val="12"/>
      <name val="Calibri"/>
      <family val="2"/>
      <scheme val="minor"/>
    </font>
    <font>
      <vertAlign val="superscript"/>
      <sz val="14"/>
      <name val="Calibri"/>
      <family val="2"/>
    </font>
    <font>
      <b/>
      <sz val="14"/>
      <name val="Arial"/>
      <family val="2"/>
    </font>
    <font>
      <b/>
      <sz val="12"/>
      <name val="Arial"/>
      <family val="2"/>
    </font>
    <font>
      <b/>
      <sz val="8"/>
      <name val="Arial"/>
      <family val="2"/>
    </font>
    <font>
      <b/>
      <u/>
      <sz val="12"/>
      <color indexed="8"/>
      <name val="Calibri"/>
      <family val="2"/>
      <scheme val="minor"/>
    </font>
    <font>
      <b/>
      <u/>
      <sz val="10"/>
      <name val="Arial"/>
      <family val="2"/>
    </font>
    <font>
      <sz val="12"/>
      <color indexed="8"/>
      <name val="Calibri"/>
      <family val="2"/>
      <scheme val="minor"/>
    </font>
    <font>
      <u/>
      <sz val="10"/>
      <name val="Arial"/>
      <family val="2"/>
    </font>
    <font>
      <sz val="11"/>
      <color indexed="8"/>
      <name val="Calibri"/>
      <family val="2"/>
    </font>
    <font>
      <b/>
      <sz val="12"/>
      <color indexed="8"/>
      <name val="Calibri"/>
      <family val="2"/>
      <scheme val="minor"/>
    </font>
    <font>
      <b/>
      <sz val="10"/>
      <name val="Arial"/>
      <family val="2"/>
    </font>
    <font>
      <sz val="10"/>
      <color indexed="8"/>
      <name val="Arial"/>
      <family val="2"/>
    </font>
    <font>
      <sz val="9"/>
      <color indexed="8"/>
      <name val="Arial"/>
      <family val="2"/>
    </font>
    <font>
      <sz val="11"/>
      <color indexed="8"/>
      <name val="Arial"/>
      <family val="2"/>
    </font>
    <font>
      <b/>
      <sz val="10"/>
      <name val="Univers Condensed"/>
      <family val="2"/>
    </font>
    <font>
      <b/>
      <sz val="10"/>
      <name val="Univers Condensed"/>
    </font>
    <font>
      <b/>
      <sz val="16"/>
      <color rgb="FF000000"/>
      <name val="Arial"/>
      <family val="2"/>
    </font>
    <font>
      <b/>
      <sz val="12"/>
      <color rgb="FF000000"/>
      <name val="Arial"/>
      <family val="2"/>
    </font>
    <font>
      <b/>
      <sz val="11"/>
      <name val="Arial"/>
      <family val="2"/>
    </font>
    <font>
      <sz val="11"/>
      <name val="Arial"/>
      <family val="2"/>
    </font>
    <font>
      <b/>
      <u/>
      <sz val="11"/>
      <name val="Arial"/>
      <family val="2"/>
    </font>
    <font>
      <vertAlign val="superscript"/>
      <sz val="11"/>
      <name val="Arial"/>
      <family val="2"/>
    </font>
    <font>
      <b/>
      <sz val="12"/>
      <color theme="1"/>
      <name val="Arial"/>
      <family val="2"/>
    </font>
    <font>
      <sz val="12"/>
      <color theme="1"/>
      <name val="Arial"/>
      <family val="2"/>
    </font>
    <font>
      <b/>
      <u/>
      <sz val="12"/>
      <color theme="1"/>
      <name val="Arial"/>
      <family val="2"/>
    </font>
    <font>
      <vertAlign val="superscript"/>
      <sz val="12"/>
      <color theme="1"/>
      <name val="Arial"/>
      <family val="2"/>
    </font>
    <font>
      <vertAlign val="superscript"/>
      <sz val="10"/>
      <color theme="1"/>
      <name val="Arial"/>
      <family val="2"/>
    </font>
    <font>
      <vertAlign val="superscript"/>
      <sz val="12"/>
      <color theme="1"/>
      <name val="Calibri"/>
      <family val="2"/>
      <scheme val="minor"/>
    </font>
    <font>
      <b/>
      <vertAlign val="superscript"/>
      <sz val="12"/>
      <color theme="1"/>
      <name val="Calibri"/>
      <family val="2"/>
      <scheme val="minor"/>
    </font>
    <font>
      <sz val="10"/>
      <name val="Calibri"/>
      <family val="2"/>
    </font>
    <font>
      <sz val="12"/>
      <color indexed="8"/>
      <name val="Calibri"/>
      <family val="2"/>
    </font>
    <font>
      <b/>
      <sz val="12"/>
      <color indexed="8"/>
      <name val="Calibri"/>
      <family val="2"/>
    </font>
    <font>
      <b/>
      <sz val="12"/>
      <color indexed="9"/>
      <name val="Calibri"/>
      <family val="2"/>
    </font>
    <font>
      <sz val="16"/>
      <color theme="1"/>
      <name val="Arial"/>
      <family val="2"/>
    </font>
    <font>
      <b/>
      <sz val="16"/>
      <color theme="1"/>
      <name val="Arial"/>
      <family val="2"/>
    </font>
    <font>
      <b/>
      <sz val="14"/>
      <color theme="1"/>
      <name val="Arial"/>
      <family val="2"/>
    </font>
    <font>
      <b/>
      <sz val="18"/>
      <color theme="1"/>
      <name val="Calibri"/>
      <family val="2"/>
      <scheme val="minor"/>
    </font>
    <font>
      <b/>
      <sz val="22"/>
      <color theme="1"/>
      <name val="Arial"/>
      <family val="2"/>
    </font>
    <font>
      <b/>
      <sz val="15"/>
      <color theme="1"/>
      <name val="Arial"/>
      <family val="2"/>
    </font>
    <font>
      <b/>
      <sz val="18"/>
      <color theme="1"/>
      <name val="Arial"/>
      <family val="2"/>
    </font>
    <font>
      <sz val="15"/>
      <color theme="1"/>
      <name val="Arial"/>
      <family val="2"/>
    </font>
    <font>
      <sz val="12"/>
      <color theme="0"/>
      <name val="Calibri"/>
      <family val="2"/>
      <scheme val="minor"/>
    </font>
    <font>
      <sz val="9"/>
      <color indexed="81"/>
      <name val="Tahoma"/>
      <family val="2"/>
    </font>
    <font>
      <b/>
      <sz val="9"/>
      <color indexed="81"/>
      <name val="Tahoma"/>
      <family val="2"/>
    </font>
  </fonts>
  <fills count="22">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CDDC"/>
        <bgColor indexed="64"/>
      </patternFill>
    </fill>
    <fill>
      <patternFill patternType="solid">
        <fgColor theme="0"/>
        <bgColor indexed="64"/>
      </patternFill>
    </fill>
    <fill>
      <patternFill patternType="solid">
        <fgColor indexed="6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bgColor indexed="64"/>
      </patternFill>
    </fill>
    <fill>
      <patternFill patternType="solid">
        <fgColor indexed="9"/>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rgb="FF92D050"/>
        <bgColor indexed="64"/>
      </patternFill>
    </fill>
    <fill>
      <patternFill patternType="solid">
        <fgColor indexed="22"/>
        <bgColor indexed="64"/>
      </patternFill>
    </fill>
    <fill>
      <patternFill patternType="solid">
        <fgColor theme="7"/>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right style="thin">
        <color indexed="64"/>
      </right>
      <top/>
      <bottom/>
      <diagonal/>
    </border>
    <border>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style="thin">
        <color indexed="64"/>
      </left>
      <right/>
      <top/>
      <bottom style="medium">
        <color indexed="64"/>
      </bottom>
      <diagonal/>
    </border>
    <border>
      <left/>
      <right/>
      <top/>
      <bottom style="medium">
        <color auto="1"/>
      </bottom>
      <diagonal/>
    </border>
    <border>
      <left style="thin">
        <color indexed="64"/>
      </left>
      <right style="thin">
        <color indexed="64"/>
      </right>
      <top style="thin">
        <color indexed="64"/>
      </top>
      <bottom style="medium">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top style="thin">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double">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auto="1"/>
      </left>
      <right/>
      <top style="thin">
        <color auto="1"/>
      </top>
      <bottom/>
      <diagonal/>
    </border>
    <border>
      <left style="medium">
        <color indexed="64"/>
      </left>
      <right style="thin">
        <color indexed="64"/>
      </right>
      <top style="medium">
        <color indexed="64"/>
      </top>
      <bottom style="medium">
        <color indexed="64"/>
      </bottom>
      <diagonal/>
    </border>
    <border>
      <left style="medium">
        <color auto="1"/>
      </left>
      <right/>
      <top style="thin">
        <color auto="1"/>
      </top>
      <bottom style="medium">
        <color auto="1"/>
      </bottom>
      <diagonal/>
    </border>
  </borders>
  <cellStyleXfs count="8">
    <xf numFmtId="0" fontId="0" fillId="0" borderId="0"/>
    <xf numFmtId="0" fontId="3" fillId="0" borderId="0"/>
    <xf numFmtId="0" fontId="15" fillId="0" borderId="0"/>
    <xf numFmtId="164" fontId="37" fillId="0" borderId="0" applyFont="0" applyFill="0" applyBorder="0" applyAlignment="0" applyProtection="0"/>
    <xf numFmtId="9" fontId="3" fillId="0" borderId="0" applyFont="0" applyFill="0" applyBorder="0" applyAlignment="0" applyProtection="0"/>
    <xf numFmtId="164" fontId="15" fillId="0" borderId="0" applyFont="0" applyFill="0" applyBorder="0" applyAlignment="0" applyProtection="0"/>
    <xf numFmtId="0" fontId="15" fillId="0" borderId="0"/>
    <xf numFmtId="164" fontId="3" fillId="0" borderId="0" applyFont="0" applyFill="0" applyBorder="0" applyAlignment="0" applyProtection="0"/>
  </cellStyleXfs>
  <cellXfs count="841">
    <xf numFmtId="0" fontId="0" fillId="0" borderId="0" xfId="0"/>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xf numFmtId="0" fontId="9" fillId="0" borderId="0" xfId="0" applyFont="1" applyAlignment="1">
      <alignment horizontal="center"/>
    </xf>
    <xf numFmtId="0" fontId="0" fillId="2" borderId="0" xfId="0" applyFill="1"/>
    <xf numFmtId="0" fontId="9" fillId="0" borderId="0" xfId="0" applyFont="1" applyAlignment="1">
      <alignment horizontal="left" indent="2"/>
    </xf>
    <xf numFmtId="0" fontId="8" fillId="0" borderId="0" xfId="0" applyFont="1" applyFill="1" applyAlignment="1">
      <alignment horizontal="left" indent="4"/>
    </xf>
    <xf numFmtId="0" fontId="0" fillId="0" borderId="0" xfId="0" applyFill="1"/>
    <xf numFmtId="0" fontId="8" fillId="0" borderId="0" xfId="0" applyFont="1" applyFill="1"/>
    <xf numFmtId="0" fontId="9" fillId="0" borderId="0" xfId="0" applyFont="1" applyFill="1" applyAlignment="1">
      <alignment horizontal="left" indent="2"/>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4" xfId="0" applyFont="1" applyBorder="1" applyAlignment="1">
      <alignment horizontal="left" indent="1"/>
    </xf>
    <xf numFmtId="165" fontId="10" fillId="0" borderId="5" xfId="0" applyNumberFormat="1" applyFont="1" applyBorder="1"/>
    <xf numFmtId="0" fontId="6" fillId="0" borderId="4" xfId="0" applyFont="1" applyBorder="1" applyAlignment="1">
      <alignment horizontal="left" indent="3"/>
    </xf>
    <xf numFmtId="165" fontId="6" fillId="0" borderId="5" xfId="0" applyNumberFormat="1" applyFont="1" applyBorder="1"/>
    <xf numFmtId="165" fontId="6" fillId="0" borderId="6" xfId="0" applyNumberFormat="1" applyFont="1" applyBorder="1"/>
    <xf numFmtId="165" fontId="6" fillId="0" borderId="5" xfId="0" applyNumberFormat="1" applyFont="1" applyFill="1" applyBorder="1"/>
    <xf numFmtId="165" fontId="10" fillId="0" borderId="5" xfId="0" applyNumberFormat="1" applyFont="1" applyFill="1" applyBorder="1"/>
    <xf numFmtId="165" fontId="10" fillId="0" borderId="6" xfId="0" applyNumberFormat="1" applyFont="1" applyBorder="1"/>
    <xf numFmtId="165" fontId="0" fillId="0" borderId="0" xfId="0" applyNumberFormat="1"/>
    <xf numFmtId="0" fontId="6" fillId="0" borderId="4" xfId="0" applyFont="1" applyBorder="1" applyAlignment="1">
      <alignment horizontal="left" indent="5"/>
    </xf>
    <xf numFmtId="0" fontId="10" fillId="0" borderId="4" xfId="0" applyFont="1" applyBorder="1"/>
    <xf numFmtId="0" fontId="10" fillId="0" borderId="1" xfId="0" applyFont="1" applyBorder="1" applyAlignment="1">
      <alignment vertical="center"/>
    </xf>
    <xf numFmtId="165" fontId="10" fillId="0" borderId="2" xfId="0" applyNumberFormat="1" applyFont="1" applyBorder="1" applyAlignment="1">
      <alignment vertical="center"/>
    </xf>
    <xf numFmtId="0" fontId="11" fillId="0" borderId="7" xfId="0" applyFont="1" applyBorder="1" applyAlignment="1">
      <alignment vertical="center"/>
    </xf>
    <xf numFmtId="0" fontId="6" fillId="0" borderId="8" xfId="0" applyFont="1" applyBorder="1" applyAlignment="1">
      <alignment horizontal="left" indent="3"/>
    </xf>
    <xf numFmtId="165" fontId="6" fillId="0" borderId="8" xfId="0" applyNumberFormat="1" applyFont="1" applyBorder="1"/>
    <xf numFmtId="0" fontId="11" fillId="0" borderId="0" xfId="0" applyFont="1" applyBorder="1" applyAlignment="1">
      <alignment vertical="center"/>
    </xf>
    <xf numFmtId="0" fontId="10" fillId="4" borderId="9" xfId="0" applyFont="1" applyFill="1" applyBorder="1" applyAlignment="1">
      <alignment horizontal="center" vertical="center"/>
    </xf>
    <xf numFmtId="165" fontId="10" fillId="0" borderId="4" xfId="0" applyNumberFormat="1" applyFont="1" applyBorder="1"/>
    <xf numFmtId="165" fontId="10" fillId="0" borderId="0" xfId="0" applyNumberFormat="1" applyFont="1" applyBorder="1"/>
    <xf numFmtId="0" fontId="6" fillId="0" borderId="4" xfId="0" applyFont="1" applyBorder="1" applyAlignment="1">
      <alignment horizontal="left" indent="2"/>
    </xf>
    <xf numFmtId="165" fontId="6" fillId="0" borderId="4" xfId="0" applyNumberFormat="1" applyFont="1" applyBorder="1"/>
    <xf numFmtId="165" fontId="6" fillId="0" borderId="0" xfId="0" applyNumberFormat="1" applyFont="1" applyBorder="1"/>
    <xf numFmtId="0" fontId="10" fillId="0" borderId="1" xfId="0" applyFont="1" applyBorder="1"/>
    <xf numFmtId="165" fontId="10" fillId="0" borderId="1" xfId="0" applyNumberFormat="1" applyFont="1" applyBorder="1"/>
    <xf numFmtId="165" fontId="10" fillId="0" borderId="9" xfId="0" applyNumberFormat="1" applyFont="1" applyBorder="1"/>
    <xf numFmtId="165" fontId="10" fillId="0" borderId="3" xfId="0" applyNumberFormat="1" applyFont="1" applyBorder="1"/>
    <xf numFmtId="0" fontId="6" fillId="0" borderId="4" xfId="0" applyFont="1" applyBorder="1"/>
    <xf numFmtId="0" fontId="6" fillId="0" borderId="4" xfId="0" applyFont="1" applyBorder="1" applyAlignment="1">
      <alignment horizontal="left" indent="1"/>
    </xf>
    <xf numFmtId="0" fontId="6" fillId="0" borderId="10" xfId="0" applyFont="1" applyBorder="1" applyAlignment="1">
      <alignment horizontal="left" indent="1"/>
    </xf>
    <xf numFmtId="165" fontId="6" fillId="0" borderId="10" xfId="0" applyNumberFormat="1" applyFont="1" applyBorder="1"/>
    <xf numFmtId="165" fontId="6" fillId="0" borderId="11" xfId="0" applyNumberFormat="1" applyFont="1" applyBorder="1"/>
    <xf numFmtId="165" fontId="6" fillId="0" borderId="12" xfId="0" applyNumberFormat="1" applyFont="1" applyBorder="1"/>
    <xf numFmtId="0" fontId="11" fillId="0" borderId="0" xfId="0" applyFont="1"/>
    <xf numFmtId="165" fontId="6" fillId="0" borderId="4" xfId="0" applyNumberFormat="1" applyFont="1" applyFill="1" applyBorder="1"/>
    <xf numFmtId="165" fontId="6" fillId="0" borderId="0" xfId="0" applyNumberFormat="1" applyFont="1" applyFill="1" applyBorder="1"/>
    <xf numFmtId="165" fontId="6" fillId="0" borderId="6" xfId="0" applyNumberFormat="1" applyFont="1" applyFill="1" applyBorder="1"/>
    <xf numFmtId="165" fontId="6" fillId="0" borderId="10" xfId="0" applyNumberFormat="1" applyFont="1" applyFill="1" applyBorder="1"/>
    <xf numFmtId="165" fontId="6" fillId="0" borderId="11" xfId="0" applyNumberFormat="1" applyFont="1" applyFill="1" applyBorder="1"/>
    <xf numFmtId="165" fontId="6" fillId="0" borderId="12" xfId="0" applyNumberFormat="1" applyFont="1" applyFill="1" applyBorder="1"/>
    <xf numFmtId="0" fontId="0" fillId="5" borderId="0" xfId="0" applyFill="1"/>
    <xf numFmtId="0" fontId="9" fillId="0" borderId="0" xfId="0" applyFont="1"/>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8" fillId="0" borderId="16" xfId="0" applyFont="1" applyBorder="1"/>
    <xf numFmtId="164" fontId="8" fillId="0" borderId="5" xfId="0" applyNumberFormat="1" applyFont="1" applyBorder="1"/>
    <xf numFmtId="164" fontId="8" fillId="0" borderId="17" xfId="0" applyNumberFormat="1" applyFont="1" applyBorder="1"/>
    <xf numFmtId="164" fontId="8" fillId="0" borderId="5" xfId="0" applyNumberFormat="1" applyFont="1" applyFill="1" applyBorder="1"/>
    <xf numFmtId="0" fontId="8" fillId="0" borderId="18" xfId="0" applyFont="1" applyBorder="1"/>
    <xf numFmtId="164" fontId="13" fillId="0" borderId="19" xfId="0" applyNumberFormat="1" applyFont="1" applyFill="1" applyBorder="1"/>
    <xf numFmtId="164" fontId="8" fillId="0" borderId="20" xfId="0" applyNumberFormat="1" applyFont="1" applyBorder="1"/>
    <xf numFmtId="165" fontId="8" fillId="0" borderId="0" xfId="0" applyNumberFormat="1" applyFont="1"/>
    <xf numFmtId="0" fontId="0" fillId="0" borderId="0" xfId="0" applyFont="1"/>
    <xf numFmtId="0" fontId="3" fillId="0" borderId="0" xfId="1"/>
    <xf numFmtId="0" fontId="0" fillId="0" borderId="0" xfId="1" applyFont="1"/>
    <xf numFmtId="0" fontId="4" fillId="0" borderId="0" xfId="1" applyFont="1" applyAlignment="1">
      <alignment horizontal="center"/>
    </xf>
    <xf numFmtId="0" fontId="4" fillId="5" borderId="0" xfId="1" applyFont="1" applyFill="1" applyAlignment="1">
      <alignment horizontal="center"/>
    </xf>
    <xf numFmtId="4" fontId="3" fillId="0" borderId="0" xfId="1" applyNumberFormat="1"/>
    <xf numFmtId="165" fontId="3" fillId="0" borderId="0" xfId="1" applyNumberFormat="1"/>
    <xf numFmtId="165" fontId="12" fillId="0" borderId="0" xfId="1" applyNumberFormat="1" applyFont="1" applyFill="1"/>
    <xf numFmtId="165" fontId="3" fillId="0" borderId="0" xfId="1" applyNumberFormat="1" applyFill="1"/>
    <xf numFmtId="0" fontId="12" fillId="0" borderId="0" xfId="1" applyFont="1" applyFill="1"/>
    <xf numFmtId="0" fontId="16" fillId="0" borderId="0" xfId="2" applyFont="1" applyFill="1"/>
    <xf numFmtId="0" fontId="17" fillId="0" borderId="0" xfId="1" applyFont="1" applyAlignment="1">
      <alignment horizontal="center" readingOrder="1"/>
    </xf>
    <xf numFmtId="49" fontId="18" fillId="6" borderId="3" xfId="2" applyNumberFormat="1" applyFont="1" applyFill="1" applyBorder="1" applyAlignment="1">
      <alignment horizontal="center" vertical="center" wrapText="1"/>
    </xf>
    <xf numFmtId="49" fontId="18" fillId="6" borderId="2" xfId="2" applyNumberFormat="1" applyFont="1" applyFill="1" applyBorder="1" applyAlignment="1">
      <alignment horizontal="center" vertical="center" wrapText="1"/>
    </xf>
    <xf numFmtId="0" fontId="13" fillId="0" borderId="26" xfId="1" applyFont="1" applyFill="1" applyBorder="1"/>
    <xf numFmtId="165" fontId="13" fillId="0" borderId="6" xfId="1" applyNumberFormat="1" applyFont="1" applyFill="1" applyBorder="1"/>
    <xf numFmtId="165" fontId="13" fillId="0" borderId="5" xfId="1" applyNumberFormat="1" applyFont="1" applyFill="1" applyBorder="1"/>
    <xf numFmtId="165" fontId="13" fillId="0" borderId="27" xfId="1" applyNumberFormat="1" applyFont="1" applyFill="1" applyBorder="1"/>
    <xf numFmtId="165" fontId="13" fillId="0" borderId="28" xfId="1" applyNumberFormat="1" applyFont="1" applyFill="1" applyBorder="1"/>
    <xf numFmtId="0" fontId="13" fillId="0" borderId="24" xfId="1" applyFont="1" applyFill="1" applyBorder="1"/>
    <xf numFmtId="165" fontId="13" fillId="0" borderId="12" xfId="1" applyNumberFormat="1" applyFont="1" applyFill="1" applyBorder="1"/>
    <xf numFmtId="165" fontId="13" fillId="0" borderId="8" xfId="1" applyNumberFormat="1" applyFont="1" applyFill="1" applyBorder="1"/>
    <xf numFmtId="165" fontId="13" fillId="0" borderId="25" xfId="1" applyNumberFormat="1" applyFont="1" applyFill="1" applyBorder="1"/>
    <xf numFmtId="0" fontId="18" fillId="0" borderId="29" xfId="1" applyFont="1" applyFill="1" applyBorder="1" applyAlignment="1">
      <alignment horizontal="center" vertical="center"/>
    </xf>
    <xf numFmtId="165" fontId="18" fillId="0" borderId="19" xfId="2" applyNumberFormat="1" applyFont="1" applyFill="1" applyBorder="1" applyAlignment="1">
      <alignment vertical="center"/>
    </xf>
    <xf numFmtId="165" fontId="18" fillId="0" borderId="30" xfId="2" applyNumberFormat="1" applyFont="1" applyFill="1" applyBorder="1" applyAlignment="1">
      <alignment vertical="center"/>
    </xf>
    <xf numFmtId="49" fontId="20" fillId="0" borderId="0" xfId="2" applyNumberFormat="1" applyFont="1" applyFill="1" applyBorder="1" applyAlignment="1">
      <alignment horizontal="left" vertical="center"/>
    </xf>
    <xf numFmtId="0" fontId="16" fillId="0" borderId="0" xfId="2" applyFont="1" applyFill="1" applyAlignment="1">
      <alignment vertical="center"/>
    </xf>
    <xf numFmtId="0" fontId="14" fillId="0" borderId="0" xfId="1" applyFont="1" applyAlignment="1">
      <alignment readingOrder="1"/>
    </xf>
    <xf numFmtId="167" fontId="16" fillId="0" borderId="0" xfId="2" applyNumberFormat="1" applyFont="1" applyFill="1" applyBorder="1"/>
    <xf numFmtId="0" fontId="21" fillId="6" borderId="2" xfId="2" applyFont="1" applyFill="1" applyBorder="1" applyAlignment="1">
      <alignment horizontal="center" vertical="center" wrapText="1"/>
    </xf>
    <xf numFmtId="49" fontId="21" fillId="6" borderId="2" xfId="2" applyNumberFormat="1" applyFont="1" applyFill="1" applyBorder="1" applyAlignment="1">
      <alignment horizontal="center" vertical="center" wrapText="1"/>
    </xf>
    <xf numFmtId="168" fontId="23" fillId="0" borderId="27" xfId="2" applyNumberFormat="1" applyFont="1" applyFill="1" applyBorder="1" applyAlignment="1"/>
    <xf numFmtId="168" fontId="23" fillId="0" borderId="32" xfId="2" applyNumberFormat="1" applyFont="1" applyFill="1" applyBorder="1" applyAlignment="1"/>
    <xf numFmtId="49" fontId="13" fillId="0" borderId="26" xfId="2" applyNumberFormat="1" applyFont="1" applyFill="1" applyBorder="1" applyAlignment="1">
      <alignment horizontal="left" wrapText="1" indent="3"/>
    </xf>
    <xf numFmtId="168" fontId="24" fillId="0" borderId="5" xfId="2" applyNumberFormat="1" applyFont="1" applyFill="1" applyBorder="1" applyAlignment="1"/>
    <xf numFmtId="168" fontId="24" fillId="0" borderId="17" xfId="2" applyNumberFormat="1" applyFont="1" applyFill="1" applyBorder="1" applyAlignment="1"/>
    <xf numFmtId="168" fontId="23" fillId="0" borderId="5" xfId="2" applyNumberFormat="1" applyFont="1" applyFill="1" applyBorder="1" applyAlignment="1"/>
    <xf numFmtId="168" fontId="23" fillId="0" borderId="17" xfId="2" applyNumberFormat="1" applyFont="1" applyFill="1" applyBorder="1" applyAlignment="1"/>
    <xf numFmtId="168" fontId="25" fillId="0" borderId="5" xfId="2" applyNumberFormat="1" applyFont="1" applyFill="1" applyBorder="1" applyAlignment="1"/>
    <xf numFmtId="0" fontId="26" fillId="0" borderId="8" xfId="1" applyFont="1" applyFill="1" applyBorder="1"/>
    <xf numFmtId="168" fontId="23" fillId="0" borderId="8" xfId="2" applyNumberFormat="1" applyFont="1" applyFill="1" applyBorder="1" applyAlignment="1"/>
    <xf numFmtId="169" fontId="26" fillId="0" borderId="8" xfId="1" applyNumberFormat="1" applyFont="1" applyFill="1" applyBorder="1"/>
    <xf numFmtId="169" fontId="26" fillId="0" borderId="33" xfId="1" applyNumberFormat="1" applyFont="1" applyFill="1" applyBorder="1"/>
    <xf numFmtId="165" fontId="27" fillId="0" borderId="19" xfId="1" applyNumberFormat="1" applyFont="1" applyFill="1" applyBorder="1"/>
    <xf numFmtId="165" fontId="28" fillId="0" borderId="19" xfId="1" applyNumberFormat="1" applyFont="1" applyFill="1" applyBorder="1" applyAlignment="1">
      <alignment vertical="center"/>
    </xf>
    <xf numFmtId="169" fontId="28" fillId="0" borderId="19" xfId="1" applyNumberFormat="1" applyFont="1" applyFill="1" applyBorder="1" applyAlignment="1">
      <alignment vertical="center"/>
    </xf>
    <xf numFmtId="169" fontId="28" fillId="0" borderId="20" xfId="1" applyNumberFormat="1" applyFont="1" applyFill="1" applyBorder="1" applyAlignment="1">
      <alignment vertical="center"/>
    </xf>
    <xf numFmtId="0" fontId="3" fillId="0" borderId="0" xfId="1" applyFill="1" applyAlignment="1"/>
    <xf numFmtId="0" fontId="3" fillId="0" borderId="0" xfId="1" applyFill="1"/>
    <xf numFmtId="0" fontId="16" fillId="0" borderId="0" xfId="2" applyFont="1" applyFill="1" applyBorder="1"/>
    <xf numFmtId="0" fontId="15" fillId="0" borderId="0" xfId="2" applyFont="1"/>
    <xf numFmtId="0" fontId="18" fillId="6" borderId="34" xfId="2" applyFont="1" applyFill="1" applyBorder="1" applyAlignment="1">
      <alignment horizontal="center" vertical="center"/>
    </xf>
    <xf numFmtId="0" fontId="18" fillId="6" borderId="14" xfId="2" applyFont="1" applyFill="1" applyBorder="1" applyAlignment="1">
      <alignment horizontal="center" vertical="center" wrapText="1"/>
    </xf>
    <xf numFmtId="0" fontId="18" fillId="6" borderId="35" xfId="2" applyFont="1" applyFill="1" applyBorder="1" applyAlignment="1">
      <alignment horizontal="center" vertical="center" wrapText="1"/>
    </xf>
    <xf numFmtId="0" fontId="18" fillId="6" borderId="36" xfId="2" applyFont="1" applyFill="1" applyBorder="1" applyAlignment="1">
      <alignment horizontal="center" vertical="center" wrapText="1"/>
    </xf>
    <xf numFmtId="0" fontId="18" fillId="6" borderId="15" xfId="2" applyFont="1" applyFill="1" applyBorder="1" applyAlignment="1">
      <alignment horizontal="center" vertical="center" wrapText="1"/>
    </xf>
    <xf numFmtId="0" fontId="32" fillId="0" borderId="0" xfId="2" applyFont="1" applyAlignment="1">
      <alignment vertical="center"/>
    </xf>
    <xf numFmtId="0" fontId="33" fillId="0" borderId="26" xfId="2" applyFont="1" applyFill="1" applyBorder="1" applyAlignment="1">
      <alignment horizontal="left" vertical="center"/>
    </xf>
    <xf numFmtId="168" fontId="28" fillId="0" borderId="5" xfId="2" applyNumberFormat="1" applyFont="1" applyFill="1" applyBorder="1" applyAlignment="1">
      <alignment horizontal="right" vertical="center" wrapText="1"/>
    </xf>
    <xf numFmtId="165" fontId="28" fillId="0" borderId="5" xfId="2" applyNumberFormat="1" applyFont="1" applyFill="1" applyBorder="1" applyAlignment="1">
      <alignment horizontal="right" vertical="center" wrapText="1"/>
    </xf>
    <xf numFmtId="165" fontId="28" fillId="0" borderId="4"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165" fontId="28" fillId="0" borderId="17" xfId="2" applyNumberFormat="1" applyFont="1" applyFill="1" applyBorder="1" applyAlignment="1">
      <alignment horizontal="right" vertical="center" wrapText="1"/>
    </xf>
    <xf numFmtId="0" fontId="34" fillId="0" borderId="0" xfId="2" applyFont="1" applyAlignment="1">
      <alignment vertical="center"/>
    </xf>
    <xf numFmtId="0" fontId="35" fillId="0" borderId="26" xfId="2" applyFont="1" applyFill="1" applyBorder="1" applyAlignment="1">
      <alignment horizontal="left" vertical="top" indent="1"/>
    </xf>
    <xf numFmtId="168" fontId="35" fillId="0" borderId="5" xfId="2" applyNumberFormat="1" applyFont="1" applyFill="1" applyBorder="1" applyAlignment="1">
      <alignment horizontal="right" vertical="top"/>
    </xf>
    <xf numFmtId="165" fontId="35" fillId="0" borderId="5" xfId="2" applyNumberFormat="1" applyFont="1" applyFill="1" applyBorder="1" applyAlignment="1">
      <alignment horizontal="right" vertical="top"/>
    </xf>
    <xf numFmtId="165" fontId="35" fillId="0" borderId="4" xfId="2" applyNumberFormat="1" applyFont="1" applyFill="1" applyBorder="1" applyAlignment="1">
      <alignment horizontal="right" vertical="top"/>
    </xf>
    <xf numFmtId="168" fontId="15" fillId="0" borderId="5" xfId="2" applyNumberFormat="1" applyFont="1" applyFill="1" applyBorder="1"/>
    <xf numFmtId="168" fontId="15" fillId="0" borderId="0" xfId="2" applyNumberFormat="1" applyFont="1" applyFill="1" applyBorder="1"/>
    <xf numFmtId="0" fontId="36" fillId="0" borderId="0" xfId="2" applyFont="1"/>
    <xf numFmtId="165" fontId="35" fillId="0" borderId="0" xfId="2" applyNumberFormat="1" applyFont="1" applyFill="1" applyBorder="1" applyAlignment="1">
      <alignment horizontal="right" vertical="top"/>
    </xf>
    <xf numFmtId="165" fontId="35" fillId="0" borderId="17" xfId="2" applyNumberFormat="1" applyFont="1" applyFill="1" applyBorder="1" applyAlignment="1">
      <alignment horizontal="right" vertical="top"/>
    </xf>
    <xf numFmtId="0" fontId="15" fillId="0" borderId="0" xfId="2" applyFont="1" applyFill="1"/>
    <xf numFmtId="0" fontId="35" fillId="0" borderId="26" xfId="2" applyFont="1" applyFill="1" applyBorder="1" applyAlignment="1">
      <alignment horizontal="left" vertical="top" wrapText="1" indent="1"/>
    </xf>
    <xf numFmtId="168" fontId="13" fillId="0" borderId="5" xfId="3" applyNumberFormat="1" applyFont="1" applyFill="1" applyBorder="1"/>
    <xf numFmtId="165" fontId="13" fillId="0" borderId="5" xfId="3" applyNumberFormat="1" applyFont="1" applyFill="1" applyBorder="1"/>
    <xf numFmtId="165" fontId="13" fillId="0" borderId="4" xfId="3" applyNumberFormat="1" applyFont="1" applyFill="1" applyBorder="1"/>
    <xf numFmtId="165" fontId="13" fillId="0" borderId="0" xfId="3" applyNumberFormat="1" applyFont="1" applyFill="1" applyBorder="1"/>
    <xf numFmtId="0" fontId="33" fillId="0" borderId="26" xfId="2" applyFont="1" applyFill="1" applyBorder="1" applyAlignment="1">
      <alignment horizontal="left" vertical="center" indent="1"/>
    </xf>
    <xf numFmtId="168" fontId="38" fillId="0" borderId="5" xfId="2" applyNumberFormat="1" applyFont="1" applyFill="1" applyBorder="1" applyAlignment="1">
      <alignment horizontal="right" vertical="center"/>
    </xf>
    <xf numFmtId="165" fontId="38" fillId="0" borderId="5" xfId="2" applyNumberFormat="1" applyFont="1" applyFill="1" applyBorder="1" applyAlignment="1">
      <alignment horizontal="right" vertical="center"/>
    </xf>
    <xf numFmtId="165" fontId="38" fillId="0" borderId="4" xfId="2" applyNumberFormat="1" applyFont="1" applyFill="1" applyBorder="1" applyAlignment="1">
      <alignment horizontal="right" vertical="center"/>
    </xf>
    <xf numFmtId="165" fontId="38" fillId="0" borderId="0" xfId="2" applyNumberFormat="1" applyFont="1" applyFill="1" applyBorder="1" applyAlignment="1">
      <alignment horizontal="right" vertical="center"/>
    </xf>
    <xf numFmtId="165" fontId="38" fillId="0" borderId="17" xfId="2" applyNumberFormat="1" applyFont="1" applyFill="1" applyBorder="1" applyAlignment="1">
      <alignment horizontal="right" vertical="center"/>
    </xf>
    <xf numFmtId="165" fontId="13" fillId="0" borderId="0" xfId="1" applyNumberFormat="1" applyFont="1" applyFill="1" applyBorder="1"/>
    <xf numFmtId="0" fontId="35" fillId="0" borderId="24" xfId="2" applyFont="1" applyFill="1" applyBorder="1" applyAlignment="1">
      <alignment horizontal="left" vertical="top" indent="1"/>
    </xf>
    <xf numFmtId="168" fontId="35" fillId="0" borderId="8" xfId="2" applyNumberFormat="1" applyFont="1" applyFill="1" applyBorder="1" applyAlignment="1">
      <alignment horizontal="right" vertical="top"/>
    </xf>
    <xf numFmtId="165" fontId="35" fillId="0" borderId="8" xfId="2" applyNumberFormat="1" applyFont="1" applyFill="1" applyBorder="1" applyAlignment="1">
      <alignment horizontal="right" vertical="top"/>
    </xf>
    <xf numFmtId="165" fontId="35" fillId="0" borderId="10" xfId="2" applyNumberFormat="1" applyFont="1" applyFill="1" applyBorder="1" applyAlignment="1">
      <alignment horizontal="right" vertical="top"/>
    </xf>
    <xf numFmtId="165" fontId="13" fillId="0" borderId="11" xfId="1" applyNumberFormat="1" applyFont="1" applyFill="1" applyBorder="1"/>
    <xf numFmtId="0" fontId="18" fillId="6" borderId="29" xfId="2" applyFont="1" applyFill="1" applyBorder="1" applyAlignment="1">
      <alignment horizontal="center" vertical="center"/>
    </xf>
    <xf numFmtId="168" fontId="18" fillId="6" borderId="19" xfId="2" applyNumberFormat="1" applyFont="1" applyFill="1" applyBorder="1" applyAlignment="1">
      <alignment horizontal="right" vertical="center"/>
    </xf>
    <xf numFmtId="165" fontId="18" fillId="6" borderId="19" xfId="2" applyNumberFormat="1" applyFont="1" applyFill="1" applyBorder="1" applyAlignment="1">
      <alignment horizontal="right" vertical="center"/>
    </xf>
    <xf numFmtId="165" fontId="18" fillId="6" borderId="37" xfId="2" applyNumberFormat="1" applyFont="1" applyFill="1" applyBorder="1" applyAlignment="1">
      <alignment horizontal="right" vertical="center"/>
    </xf>
    <xf numFmtId="165" fontId="18" fillId="6" borderId="38" xfId="2" applyNumberFormat="1" applyFont="1" applyFill="1" applyBorder="1" applyAlignment="1">
      <alignment horizontal="right" vertical="center"/>
    </xf>
    <xf numFmtId="165" fontId="18" fillId="6" borderId="20" xfId="2" applyNumberFormat="1" applyFont="1" applyFill="1" applyBorder="1" applyAlignment="1">
      <alignment horizontal="right" vertical="center"/>
    </xf>
    <xf numFmtId="0" fontId="39" fillId="0" borderId="0" xfId="2" applyFont="1" applyFill="1"/>
    <xf numFmtId="0" fontId="40" fillId="0" borderId="0" xfId="2" applyFont="1" applyFill="1" applyBorder="1" applyAlignment="1"/>
    <xf numFmtId="0" fontId="41" fillId="0" borderId="0" xfId="2" applyFont="1" applyFill="1" applyBorder="1" applyAlignment="1"/>
    <xf numFmtId="0" fontId="15" fillId="0" borderId="38" xfId="2" applyFont="1" applyFill="1" applyBorder="1"/>
    <xf numFmtId="0" fontId="15" fillId="0" borderId="38" xfId="2" applyFont="1" applyBorder="1"/>
    <xf numFmtId="0" fontId="18" fillId="6" borderId="14" xfId="2" applyFont="1" applyFill="1" applyBorder="1" applyAlignment="1">
      <alignment horizontal="center" wrapText="1"/>
    </xf>
    <xf numFmtId="165" fontId="35" fillId="0" borderId="11" xfId="2" applyNumberFormat="1" applyFont="1" applyFill="1" applyBorder="1" applyAlignment="1">
      <alignment horizontal="right" vertical="top"/>
    </xf>
    <xf numFmtId="165" fontId="35" fillId="0" borderId="33" xfId="2" applyNumberFormat="1" applyFont="1" applyFill="1" applyBorder="1" applyAlignment="1">
      <alignment horizontal="right" vertical="top"/>
    </xf>
    <xf numFmtId="165" fontId="18" fillId="6" borderId="37" xfId="3" applyNumberFormat="1" applyFont="1" applyFill="1" applyBorder="1" applyAlignment="1">
      <alignment horizontal="right" vertical="center"/>
    </xf>
    <xf numFmtId="165" fontId="18" fillId="6" borderId="39" xfId="3" applyNumberFormat="1" applyFont="1" applyFill="1" applyBorder="1" applyAlignment="1">
      <alignment horizontal="right" vertical="center"/>
    </xf>
    <xf numFmtId="165" fontId="18" fillId="6" borderId="40" xfId="3" applyNumberFormat="1" applyFont="1" applyFill="1" applyBorder="1" applyAlignment="1">
      <alignment horizontal="right" vertical="center"/>
    </xf>
    <xf numFmtId="165" fontId="18" fillId="6" borderId="41" xfId="3" applyNumberFormat="1" applyFont="1" applyFill="1" applyBorder="1" applyAlignment="1">
      <alignment horizontal="right" vertical="center"/>
    </xf>
    <xf numFmtId="0" fontId="42" fillId="0" borderId="38" xfId="2" applyFont="1" applyFill="1" applyBorder="1" applyAlignment="1"/>
    <xf numFmtId="0" fontId="43" fillId="8" borderId="2" xfId="2" applyFont="1" applyFill="1" applyBorder="1" applyAlignment="1">
      <alignment horizontal="center" vertical="center" wrapText="1"/>
    </xf>
    <xf numFmtId="0" fontId="44" fillId="8" borderId="2" xfId="2" applyFont="1" applyFill="1" applyBorder="1" applyAlignment="1">
      <alignment horizontal="center" vertical="center" wrapText="1"/>
    </xf>
    <xf numFmtId="0" fontId="31" fillId="0" borderId="2" xfId="2" applyFont="1" applyBorder="1"/>
    <xf numFmtId="0" fontId="26" fillId="0" borderId="2" xfId="2" applyFont="1" applyBorder="1"/>
    <xf numFmtId="0" fontId="39" fillId="0" borderId="2" xfId="2" applyFont="1" applyBorder="1"/>
    <xf numFmtId="170" fontId="39" fillId="0" borderId="2" xfId="3" applyNumberFormat="1" applyFont="1" applyBorder="1" applyAlignment="1">
      <alignment wrapText="1"/>
    </xf>
    <xf numFmtId="0" fontId="16" fillId="0" borderId="0" xfId="2" applyFont="1" applyFill="1" applyAlignment="1">
      <alignment horizontal="center"/>
    </xf>
    <xf numFmtId="0" fontId="45" fillId="0" borderId="0" xfId="1" applyFont="1" applyAlignment="1">
      <alignment readingOrder="1"/>
    </xf>
    <xf numFmtId="0" fontId="46" fillId="0" borderId="0" xfId="1" applyFont="1" applyAlignment="1">
      <alignment readingOrder="1"/>
    </xf>
    <xf numFmtId="0" fontId="18" fillId="6" borderId="2" xfId="2" applyFont="1" applyFill="1" applyBorder="1" applyAlignment="1">
      <alignment horizontal="center" vertical="center" wrapText="1"/>
    </xf>
    <xf numFmtId="0" fontId="18" fillId="0" borderId="26" xfId="1" applyFont="1" applyFill="1" applyBorder="1"/>
    <xf numFmtId="165" fontId="18" fillId="7" borderId="27" xfId="1" applyNumberFormat="1" applyFont="1" applyFill="1" applyBorder="1"/>
    <xf numFmtId="165" fontId="18" fillId="0" borderId="27" xfId="1" applyNumberFormat="1" applyFont="1" applyFill="1" applyBorder="1"/>
    <xf numFmtId="165" fontId="18" fillId="7" borderId="5" xfId="1" applyNumberFormat="1" applyFont="1" applyFill="1" applyBorder="1"/>
    <xf numFmtId="165" fontId="18" fillId="0" borderId="5" xfId="1" applyNumberFormat="1" applyFont="1" applyFill="1" applyBorder="1"/>
    <xf numFmtId="165" fontId="18" fillId="7" borderId="5" xfId="2" applyNumberFormat="1" applyFont="1" applyFill="1" applyBorder="1" applyAlignment="1"/>
    <xf numFmtId="165" fontId="18" fillId="0" borderId="5" xfId="2" applyNumberFormat="1" applyFont="1" applyFill="1" applyBorder="1" applyAlignment="1"/>
    <xf numFmtId="165" fontId="38" fillId="0" borderId="5" xfId="2" applyNumberFormat="1" applyFont="1" applyFill="1" applyBorder="1" applyAlignment="1">
      <alignment horizontal="right" vertical="top"/>
    </xf>
    <xf numFmtId="165" fontId="13" fillId="7" borderId="5" xfId="2" applyNumberFormat="1" applyFont="1" applyFill="1" applyBorder="1" applyAlignment="1"/>
    <xf numFmtId="165" fontId="13" fillId="0" borderId="5" xfId="2" applyNumberFormat="1" applyFont="1" applyFill="1" applyBorder="1" applyAlignment="1"/>
    <xf numFmtId="0" fontId="13" fillId="0" borderId="26" xfId="1" applyFont="1" applyFill="1" applyBorder="1" applyAlignment="1">
      <alignment wrapText="1"/>
    </xf>
    <xf numFmtId="165" fontId="13" fillId="7" borderId="5" xfId="1" applyNumberFormat="1" applyFont="1" applyFill="1" applyBorder="1"/>
    <xf numFmtId="165" fontId="13" fillId="5" borderId="5" xfId="2" applyNumberFormat="1" applyFont="1" applyFill="1" applyBorder="1" applyAlignment="1"/>
    <xf numFmtId="165" fontId="13" fillId="7" borderId="8" xfId="1" applyNumberFormat="1" applyFont="1" applyFill="1" applyBorder="1"/>
    <xf numFmtId="165" fontId="13" fillId="5" borderId="8" xfId="2" applyNumberFormat="1" applyFont="1" applyFill="1" applyBorder="1" applyAlignment="1"/>
    <xf numFmtId="0" fontId="18" fillId="0" borderId="29" xfId="1" applyFont="1" applyFill="1" applyBorder="1"/>
    <xf numFmtId="165" fontId="18" fillId="0" borderId="19" xfId="1" applyNumberFormat="1" applyFont="1" applyFill="1" applyBorder="1"/>
    <xf numFmtId="165" fontId="18" fillId="0" borderId="44" xfId="1" applyNumberFormat="1" applyFont="1" applyFill="1" applyBorder="1"/>
    <xf numFmtId="165" fontId="18" fillId="0" borderId="45" xfId="1" applyNumberFormat="1" applyFont="1" applyFill="1" applyBorder="1"/>
    <xf numFmtId="39" fontId="16" fillId="0" borderId="0" xfId="2" applyNumberFormat="1" applyFont="1" applyFill="1"/>
    <xf numFmtId="0" fontId="4" fillId="0" borderId="0" xfId="0" applyFont="1"/>
    <xf numFmtId="0" fontId="10"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6" fillId="0" borderId="10" xfId="0" applyFont="1" applyBorder="1" applyAlignment="1">
      <alignment horizontal="left" vertical="center" wrapText="1" indent="2"/>
    </xf>
    <xf numFmtId="0" fontId="10" fillId="0" borderId="10" xfId="0" applyFont="1" applyBorder="1" applyAlignment="1">
      <alignment horizontal="center" vertical="center"/>
    </xf>
    <xf numFmtId="165" fontId="10" fillId="0" borderId="8" xfId="0" applyNumberFormat="1" applyFont="1" applyBorder="1" applyAlignment="1">
      <alignment vertical="center"/>
    </xf>
    <xf numFmtId="165" fontId="6" fillId="0" borderId="27" xfId="0" applyNumberFormat="1" applyFont="1" applyBorder="1"/>
    <xf numFmtId="0" fontId="6" fillId="0" borderId="10" xfId="0" applyFont="1" applyBorder="1"/>
    <xf numFmtId="165" fontId="6" fillId="0" borderId="8" xfId="0" applyNumberFormat="1" applyFont="1" applyFill="1" applyBorder="1"/>
    <xf numFmtId="165" fontId="6" fillId="0" borderId="27" xfId="0" applyNumberFormat="1" applyFont="1" applyFill="1" applyBorder="1"/>
    <xf numFmtId="0" fontId="39" fillId="0" borderId="0" xfId="0" applyFont="1"/>
    <xf numFmtId="0" fontId="15" fillId="0" borderId="0" xfId="0" applyFont="1"/>
    <xf numFmtId="165" fontId="0" fillId="0" borderId="0" xfId="0" applyNumberFormat="1" applyFill="1"/>
    <xf numFmtId="172" fontId="0" fillId="0" borderId="0" xfId="4" applyNumberFormat="1" applyFont="1"/>
    <xf numFmtId="165" fontId="4" fillId="0" borderId="0" xfId="0" applyNumberFormat="1" applyFont="1"/>
    <xf numFmtId="165" fontId="18" fillId="0" borderId="42" xfId="1" applyNumberFormat="1" applyFont="1" applyFill="1" applyBorder="1"/>
    <xf numFmtId="165" fontId="18" fillId="0" borderId="43" xfId="1" applyNumberFormat="1" applyFont="1" applyFill="1" applyBorder="1"/>
    <xf numFmtId="165" fontId="18" fillId="0" borderId="6" xfId="1" applyNumberFormat="1" applyFont="1" applyFill="1" applyBorder="1"/>
    <xf numFmtId="165" fontId="18" fillId="0" borderId="28" xfId="1" applyNumberFormat="1" applyFont="1" applyFill="1" applyBorder="1"/>
    <xf numFmtId="165" fontId="18" fillId="0" borderId="6" xfId="2" applyNumberFormat="1" applyFont="1" applyFill="1" applyBorder="1" applyAlignment="1"/>
    <xf numFmtId="165" fontId="18" fillId="0" borderId="28" xfId="2" applyNumberFormat="1" applyFont="1" applyFill="1" applyBorder="1" applyAlignment="1"/>
    <xf numFmtId="165" fontId="13" fillId="0" borderId="6" xfId="2" applyNumberFormat="1" applyFont="1" applyFill="1" applyBorder="1" applyAlignment="1"/>
    <xf numFmtId="165" fontId="13" fillId="0" borderId="28" xfId="2" applyNumberFormat="1" applyFont="1" applyFill="1" applyBorder="1" applyAlignment="1"/>
    <xf numFmtId="165" fontId="13" fillId="0" borderId="12" xfId="2" applyNumberFormat="1" applyFont="1" applyFill="1" applyBorder="1" applyAlignment="1"/>
    <xf numFmtId="165" fontId="13" fillId="0" borderId="25" xfId="2" applyNumberFormat="1" applyFont="1" applyFill="1" applyBorder="1" applyAlignment="1"/>
    <xf numFmtId="0" fontId="10" fillId="0" borderId="0" xfId="0" applyFont="1"/>
    <xf numFmtId="0" fontId="10" fillId="9"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6" fillId="0" borderId="27" xfId="0" applyFont="1" applyBorder="1"/>
    <xf numFmtId="0" fontId="6" fillId="0" borderId="46" xfId="0" applyFont="1" applyBorder="1"/>
    <xf numFmtId="0" fontId="6" fillId="0" borderId="7" xfId="0" applyFont="1" applyBorder="1"/>
    <xf numFmtId="0" fontId="6" fillId="0" borderId="42" xfId="0" applyFont="1" applyFill="1" applyBorder="1"/>
    <xf numFmtId="0" fontId="10" fillId="0" borderId="5" xfId="0" applyFont="1" applyBorder="1"/>
    <xf numFmtId="170" fontId="10" fillId="0" borderId="4" xfId="0" applyNumberFormat="1" applyFont="1" applyFill="1" applyBorder="1"/>
    <xf numFmtId="170" fontId="10" fillId="0" borderId="0" xfId="0" applyNumberFormat="1" applyFont="1" applyFill="1" applyBorder="1"/>
    <xf numFmtId="170" fontId="10" fillId="0" borderId="0" xfId="0" applyNumberFormat="1" applyFont="1" applyBorder="1"/>
    <xf numFmtId="170" fontId="10" fillId="0" borderId="6" xfId="0" applyNumberFormat="1" applyFont="1" applyFill="1" applyBorder="1"/>
    <xf numFmtId="0" fontId="10" fillId="0" borderId="5" xfId="0" applyFont="1" applyBorder="1" applyAlignment="1">
      <alignment horizontal="left" indent="2"/>
    </xf>
    <xf numFmtId="0" fontId="6" fillId="0" borderId="5" xfId="0" applyFont="1" applyBorder="1" applyAlignment="1">
      <alignment horizontal="left" indent="4"/>
    </xf>
    <xf numFmtId="170" fontId="6" fillId="0" borderId="0" xfId="0" applyNumberFormat="1" applyFont="1" applyFill="1" applyBorder="1"/>
    <xf numFmtId="170" fontId="6" fillId="0" borderId="6" xfId="0" applyNumberFormat="1" applyFont="1" applyFill="1" applyBorder="1"/>
    <xf numFmtId="170" fontId="6" fillId="0" borderId="4" xfId="0" applyNumberFormat="1" applyFont="1" applyFill="1" applyBorder="1"/>
    <xf numFmtId="0" fontId="6" fillId="0" borderId="5" xfId="0" applyFont="1" applyBorder="1" applyAlignment="1">
      <alignment horizontal="left" indent="6"/>
    </xf>
    <xf numFmtId="0" fontId="0" fillId="10" borderId="0" xfId="0" applyFill="1"/>
    <xf numFmtId="0" fontId="10" fillId="0" borderId="5" xfId="0" applyFont="1" applyBorder="1" applyAlignment="1">
      <alignment horizontal="justify" wrapText="1"/>
    </xf>
    <xf numFmtId="0" fontId="10" fillId="0" borderId="8" xfId="0" applyFont="1" applyBorder="1" applyAlignment="1">
      <alignment horizontal="left" indent="2"/>
    </xf>
    <xf numFmtId="170" fontId="10" fillId="0" borderId="10" xfId="0" applyNumberFormat="1" applyFont="1" applyFill="1" applyBorder="1"/>
    <xf numFmtId="170" fontId="10" fillId="0" borderId="11" xfId="0" applyNumberFormat="1" applyFont="1" applyFill="1" applyBorder="1"/>
    <xf numFmtId="170" fontId="10" fillId="0" borderId="12" xfId="0" applyNumberFormat="1" applyFont="1" applyFill="1" applyBorder="1"/>
    <xf numFmtId="170" fontId="10" fillId="5" borderId="4" xfId="0" applyNumberFormat="1" applyFont="1" applyFill="1" applyBorder="1"/>
    <xf numFmtId="170" fontId="10" fillId="5" borderId="0" xfId="0" applyNumberFormat="1" applyFont="1" applyFill="1" applyBorder="1"/>
    <xf numFmtId="170" fontId="10" fillId="0" borderId="7" xfId="0" applyNumberFormat="1" applyFont="1" applyFill="1" applyBorder="1"/>
    <xf numFmtId="170" fontId="6" fillId="5" borderId="4" xfId="0" applyNumberFormat="1" applyFont="1" applyFill="1" applyBorder="1"/>
    <xf numFmtId="170" fontId="6" fillId="5" borderId="0" xfId="0" applyNumberFormat="1" applyFont="1" applyFill="1" applyBorder="1"/>
    <xf numFmtId="0" fontId="6" fillId="0" borderId="4" xfId="0" applyFont="1" applyBorder="1" applyAlignment="1">
      <alignment horizontal="left" indent="4"/>
    </xf>
    <xf numFmtId="170" fontId="10" fillId="0" borderId="9" xfId="0" applyNumberFormat="1" applyFont="1" applyFill="1" applyBorder="1"/>
    <xf numFmtId="170" fontId="10" fillId="0" borderId="3" xfId="0" applyNumberFormat="1" applyFont="1" applyFill="1" applyBorder="1"/>
    <xf numFmtId="0" fontId="6" fillId="0" borderId="0" xfId="0" applyFont="1" applyFill="1"/>
    <xf numFmtId="0" fontId="6" fillId="0" borderId="42" xfId="0" applyFont="1" applyBorder="1"/>
    <xf numFmtId="170" fontId="10" fillId="0" borderId="4" xfId="0" applyNumberFormat="1" applyFont="1" applyBorder="1"/>
    <xf numFmtId="170" fontId="10" fillId="0" borderId="6" xfId="0" applyNumberFormat="1" applyFont="1" applyBorder="1"/>
    <xf numFmtId="0" fontId="10" fillId="0" borderId="4" xfId="0" applyFont="1" applyBorder="1" applyAlignment="1">
      <alignment horizontal="left" indent="2"/>
    </xf>
    <xf numFmtId="170" fontId="6" fillId="0" borderId="6" xfId="0" applyNumberFormat="1" applyFont="1" applyBorder="1"/>
    <xf numFmtId="0" fontId="6" fillId="0" borderId="4" xfId="0" applyFont="1" applyBorder="1" applyAlignment="1">
      <alignment horizontal="left" indent="6"/>
    </xf>
    <xf numFmtId="0" fontId="10" fillId="0" borderId="10" xfId="0" applyFont="1" applyBorder="1" applyAlignment="1">
      <alignment horizontal="left" indent="2"/>
    </xf>
    <xf numFmtId="170" fontId="10" fillId="0" borderId="12" xfId="0" applyNumberFormat="1" applyFont="1" applyBorder="1"/>
    <xf numFmtId="170" fontId="6" fillId="0" borderId="4" xfId="0" applyNumberFormat="1" applyFont="1" applyBorder="1"/>
    <xf numFmtId="170" fontId="6" fillId="0" borderId="0" xfId="0" applyNumberFormat="1" applyFont="1" applyBorder="1"/>
    <xf numFmtId="170" fontId="6" fillId="0" borderId="1" xfId="0" applyNumberFormat="1" applyFont="1" applyBorder="1"/>
    <xf numFmtId="170" fontId="6" fillId="0" borderId="9" xfId="0" applyNumberFormat="1" applyFont="1" applyBorder="1"/>
    <xf numFmtId="170" fontId="6" fillId="0" borderId="3" xfId="0" applyNumberFormat="1" applyFont="1" applyBorder="1"/>
    <xf numFmtId="170" fontId="10" fillId="0" borderId="10" xfId="0" applyNumberFormat="1" applyFont="1" applyBorder="1"/>
    <xf numFmtId="170" fontId="10" fillId="0" borderId="11" xfId="0" applyNumberFormat="1" applyFont="1" applyBorder="1"/>
    <xf numFmtId="170" fontId="10" fillId="0" borderId="3" xfId="0" applyNumberFormat="1" applyFont="1" applyBorder="1"/>
    <xf numFmtId="170" fontId="6" fillId="0" borderId="1" xfId="0" applyNumberFormat="1" applyFont="1" applyFill="1" applyBorder="1"/>
    <xf numFmtId="170" fontId="6" fillId="0" borderId="9" xfId="0" applyNumberFormat="1" applyFont="1" applyFill="1" applyBorder="1"/>
    <xf numFmtId="170" fontId="6" fillId="0" borderId="3" xfId="0" applyNumberFormat="1" applyFont="1" applyFill="1" applyBorder="1"/>
    <xf numFmtId="165" fontId="10" fillId="0" borderId="9" xfId="0" applyNumberFormat="1" applyFont="1" applyFill="1" applyBorder="1"/>
    <xf numFmtId="0" fontId="47" fillId="9" borderId="1" xfId="0" applyFont="1" applyFill="1" applyBorder="1" applyAlignment="1">
      <alignment horizontal="center" vertical="center"/>
    </xf>
    <xf numFmtId="0" fontId="47" fillId="9" borderId="9" xfId="0" applyFont="1" applyFill="1" applyBorder="1" applyAlignment="1">
      <alignment horizontal="center" vertical="center"/>
    </xf>
    <xf numFmtId="0" fontId="47" fillId="9" borderId="3" xfId="0" applyFont="1" applyFill="1" applyBorder="1" applyAlignment="1">
      <alignment horizontal="center" vertical="center"/>
    </xf>
    <xf numFmtId="0" fontId="48" fillId="0" borderId="4" xfId="0" applyFont="1" applyBorder="1"/>
    <xf numFmtId="0" fontId="48" fillId="0" borderId="0" xfId="0" applyFont="1" applyBorder="1"/>
    <xf numFmtId="0" fontId="48" fillId="0" borderId="42" xfId="0" applyFont="1" applyFill="1" applyBorder="1"/>
    <xf numFmtId="0" fontId="49" fillId="0" borderId="4" xfId="0" applyFont="1" applyBorder="1"/>
    <xf numFmtId="170" fontId="47" fillId="0" borderId="0" xfId="0" applyNumberFormat="1" applyFont="1" applyBorder="1"/>
    <xf numFmtId="170" fontId="47" fillId="0" borderId="0" xfId="0" applyNumberFormat="1" applyFont="1" applyFill="1" applyBorder="1"/>
    <xf numFmtId="170" fontId="47" fillId="0" borderId="6" xfId="0" applyNumberFormat="1" applyFont="1" applyFill="1" applyBorder="1"/>
    <xf numFmtId="0" fontId="48" fillId="0" borderId="4" xfId="0" applyFont="1" applyBorder="1" applyAlignment="1">
      <alignment horizontal="left" indent="2"/>
    </xf>
    <xf numFmtId="170" fontId="48" fillId="0" borderId="0" xfId="0" applyNumberFormat="1" applyFont="1" applyBorder="1"/>
    <xf numFmtId="170" fontId="48" fillId="0" borderId="0" xfId="0" applyNumberFormat="1" applyFont="1" applyFill="1" applyBorder="1"/>
    <xf numFmtId="170" fontId="48" fillId="0" borderId="6" xfId="0" applyNumberFormat="1" applyFont="1" applyFill="1" applyBorder="1"/>
    <xf numFmtId="0" fontId="48" fillId="0" borderId="4" xfId="0" applyFont="1" applyBorder="1" applyAlignment="1">
      <alignment horizontal="left" indent="4"/>
    </xf>
    <xf numFmtId="0" fontId="48" fillId="0" borderId="0" xfId="0" applyFont="1" applyBorder="1" applyAlignment="1">
      <alignment horizontal="left" indent="4"/>
    </xf>
    <xf numFmtId="170" fontId="48" fillId="5" borderId="6" xfId="0" applyNumberFormat="1" applyFont="1" applyFill="1" applyBorder="1"/>
    <xf numFmtId="0" fontId="48" fillId="0" borderId="4" xfId="0" applyFont="1" applyBorder="1" applyAlignment="1">
      <alignment horizontal="left" indent="6"/>
    </xf>
    <xf numFmtId="0" fontId="49" fillId="0" borderId="4" xfId="0" applyFont="1" applyBorder="1" applyAlignment="1">
      <alignment vertical="center" wrapText="1"/>
    </xf>
    <xf numFmtId="0" fontId="47" fillId="0" borderId="4" xfId="0" applyFont="1" applyBorder="1"/>
    <xf numFmtId="0" fontId="47" fillId="0" borderId="0" xfId="0" applyFont="1" applyBorder="1"/>
    <xf numFmtId="0" fontId="48" fillId="0" borderId="0" xfId="0" applyFont="1" applyFill="1" applyBorder="1"/>
    <xf numFmtId="0" fontId="48" fillId="0" borderId="6" xfId="0" applyFont="1" applyFill="1" applyBorder="1"/>
    <xf numFmtId="0" fontId="49" fillId="0" borderId="4" xfId="0" applyFont="1" applyBorder="1" applyAlignment="1">
      <alignment horizontal="left" indent="2"/>
    </xf>
    <xf numFmtId="164" fontId="0" fillId="0" borderId="0" xfId="0" applyNumberFormat="1"/>
    <xf numFmtId="0" fontId="49" fillId="0" borderId="10" xfId="0" applyFont="1" applyBorder="1"/>
    <xf numFmtId="173" fontId="48" fillId="0" borderId="11" xfId="0" applyNumberFormat="1" applyFont="1" applyBorder="1"/>
    <xf numFmtId="173" fontId="48" fillId="0" borderId="11" xfId="0" applyNumberFormat="1" applyFont="1" applyFill="1" applyBorder="1"/>
    <xf numFmtId="173" fontId="48" fillId="0" borderId="12" xfId="0" applyNumberFormat="1" applyFont="1" applyFill="1" applyBorder="1"/>
    <xf numFmtId="0" fontId="48" fillId="0" borderId="0" xfId="0" applyFont="1" applyBorder="1" applyAlignment="1">
      <alignment horizontal="justify" vertical="center"/>
    </xf>
    <xf numFmtId="0" fontId="48" fillId="0" borderId="0" xfId="0" applyFont="1"/>
    <xf numFmtId="0" fontId="10" fillId="0" borderId="46" xfId="0" applyFont="1" applyBorder="1"/>
    <xf numFmtId="0" fontId="10" fillId="0" borderId="7" xfId="0" applyFont="1" applyBorder="1"/>
    <xf numFmtId="170" fontId="10" fillId="0" borderId="7" xfId="0" applyNumberFormat="1" applyFont="1" applyBorder="1"/>
    <xf numFmtId="170" fontId="10" fillId="0" borderId="42" xfId="0" applyNumberFormat="1" applyFont="1" applyFill="1" applyBorder="1"/>
    <xf numFmtId="0" fontId="6" fillId="0" borderId="0" xfId="0" applyFont="1" applyBorder="1"/>
    <xf numFmtId="0" fontId="6" fillId="0" borderId="10" xfId="0" applyFont="1" applyBorder="1" applyAlignment="1">
      <alignment horizontal="left" indent="2"/>
    </xf>
    <xf numFmtId="0" fontId="6" fillId="0" borderId="11" xfId="0" applyFont="1" applyBorder="1"/>
    <xf numFmtId="170" fontId="6" fillId="0" borderId="11" xfId="0" applyNumberFormat="1" applyFont="1" applyBorder="1"/>
    <xf numFmtId="170" fontId="6" fillId="0" borderId="12" xfId="0" applyNumberFormat="1" applyFont="1" applyFill="1" applyBorder="1"/>
    <xf numFmtId="0" fontId="6" fillId="5" borderId="0" xfId="0" applyFont="1" applyFill="1"/>
    <xf numFmtId="0" fontId="48" fillId="0" borderId="6" xfId="0" applyFont="1" applyBorder="1"/>
    <xf numFmtId="172" fontId="49" fillId="0" borderId="4" xfId="4" applyNumberFormat="1" applyFont="1" applyBorder="1"/>
    <xf numFmtId="172" fontId="47" fillId="0" borderId="4" xfId="4" applyNumberFormat="1" applyFont="1" applyBorder="1"/>
    <xf numFmtId="172" fontId="47" fillId="0" borderId="0" xfId="4" applyNumberFormat="1" applyFont="1" applyBorder="1"/>
    <xf numFmtId="172" fontId="47" fillId="0" borderId="6" xfId="4" applyNumberFormat="1" applyFont="1" applyBorder="1"/>
    <xf numFmtId="172" fontId="48" fillId="0" borderId="4" xfId="4" applyNumberFormat="1" applyFont="1" applyBorder="1" applyAlignment="1">
      <alignment horizontal="left" indent="2"/>
    </xf>
    <xf numFmtId="172" fontId="48" fillId="0" borderId="4" xfId="4" applyNumberFormat="1" applyFont="1" applyBorder="1"/>
    <xf numFmtId="172" fontId="48" fillId="0" borderId="0" xfId="4" applyNumberFormat="1" applyFont="1" applyBorder="1"/>
    <xf numFmtId="172" fontId="48" fillId="0" borderId="6" xfId="4" applyNumberFormat="1" applyFont="1" applyBorder="1"/>
    <xf numFmtId="172" fontId="48" fillId="0" borderId="4" xfId="4" applyNumberFormat="1" applyFont="1" applyBorder="1" applyAlignment="1">
      <alignment horizontal="left" indent="4"/>
    </xf>
    <xf numFmtId="172" fontId="48" fillId="0" borderId="4" xfId="4" applyNumberFormat="1" applyFont="1" applyBorder="1" applyAlignment="1">
      <alignment horizontal="left" indent="6"/>
    </xf>
    <xf numFmtId="172" fontId="49" fillId="0" borderId="4" xfId="4" applyNumberFormat="1" applyFont="1" applyBorder="1" applyAlignment="1">
      <alignment vertical="center" wrapText="1"/>
    </xf>
    <xf numFmtId="172" fontId="49" fillId="0" borderId="4" xfId="4" applyNumberFormat="1" applyFont="1" applyBorder="1" applyAlignment="1">
      <alignment horizontal="left" indent="2"/>
    </xf>
    <xf numFmtId="172" fontId="49" fillId="0" borderId="1" xfId="4" applyNumberFormat="1" applyFont="1" applyBorder="1"/>
    <xf numFmtId="165" fontId="47" fillId="0" borderId="9" xfId="4" applyNumberFormat="1" applyFont="1" applyBorder="1"/>
    <xf numFmtId="165" fontId="47" fillId="0" borderId="3" xfId="4" applyNumberFormat="1" applyFont="1" applyBorder="1"/>
    <xf numFmtId="172" fontId="10" fillId="0" borderId="7" xfId="4" applyNumberFormat="1" applyFont="1" applyBorder="1"/>
    <xf numFmtId="172" fontId="10" fillId="0" borderId="42" xfId="4" applyNumberFormat="1" applyFont="1" applyBorder="1"/>
    <xf numFmtId="172" fontId="6" fillId="0" borderId="0" xfId="4" applyNumberFormat="1" applyFont="1" applyBorder="1"/>
    <xf numFmtId="172" fontId="6" fillId="0" borderId="6" xfId="0" applyNumberFormat="1" applyFont="1" applyBorder="1"/>
    <xf numFmtId="172" fontId="6" fillId="0" borderId="6" xfId="4" applyNumberFormat="1" applyFont="1" applyBorder="1"/>
    <xf numFmtId="172" fontId="6" fillId="0" borderId="11" xfId="4" applyNumberFormat="1" applyFont="1" applyBorder="1"/>
    <xf numFmtId="170" fontId="6" fillId="0" borderId="12" xfId="0" applyNumberFormat="1" applyFont="1" applyBorder="1"/>
    <xf numFmtId="0" fontId="51" fillId="0" borderId="0" xfId="0" applyFont="1"/>
    <xf numFmtId="0" fontId="52" fillId="0" borderId="0" xfId="0" applyFont="1"/>
    <xf numFmtId="0" fontId="51" fillId="6" borderId="34" xfId="0" applyFont="1" applyFill="1" applyBorder="1" applyAlignment="1">
      <alignment horizontal="center" vertical="center" wrapText="1"/>
    </xf>
    <xf numFmtId="0" fontId="51" fillId="6" borderId="36" xfId="0" applyFont="1" applyFill="1" applyBorder="1" applyAlignment="1">
      <alignment horizontal="center" vertical="center" wrapText="1"/>
    </xf>
    <xf numFmtId="0" fontId="51" fillId="6" borderId="47" xfId="0" applyFont="1" applyFill="1" applyBorder="1" applyAlignment="1">
      <alignment horizontal="center" vertical="center" wrapText="1"/>
    </xf>
    <xf numFmtId="0" fontId="52" fillId="0" borderId="26" xfId="0" applyFont="1" applyBorder="1"/>
    <xf numFmtId="0" fontId="52" fillId="0" borderId="0" xfId="0" applyFont="1" applyBorder="1"/>
    <xf numFmtId="0" fontId="6" fillId="0" borderId="28" xfId="0" applyFont="1" applyBorder="1"/>
    <xf numFmtId="0" fontId="0" fillId="11" borderId="0" xfId="0" applyFill="1"/>
    <xf numFmtId="0" fontId="53" fillId="0" borderId="26" xfId="0" applyFont="1" applyFill="1" applyBorder="1"/>
    <xf numFmtId="165" fontId="51" fillId="0" borderId="0" xfId="0" applyNumberFormat="1" applyFont="1" applyFill="1" applyBorder="1"/>
    <xf numFmtId="165" fontId="51" fillId="0" borderId="28" xfId="0" applyNumberFormat="1" applyFont="1" applyFill="1" applyBorder="1"/>
    <xf numFmtId="0" fontId="52" fillId="0" borderId="26" xfId="0" applyFont="1" applyFill="1" applyBorder="1" applyAlignment="1">
      <alignment horizontal="left" indent="2"/>
    </xf>
    <xf numFmtId="165" fontId="52" fillId="0" borderId="0" xfId="0" applyNumberFormat="1" applyFont="1" applyFill="1" applyBorder="1"/>
    <xf numFmtId="165" fontId="52" fillId="0" borderId="28" xfId="0" applyNumberFormat="1" applyFont="1" applyFill="1" applyBorder="1"/>
    <xf numFmtId="0" fontId="52" fillId="0" borderId="26" xfId="0" applyFont="1" applyFill="1" applyBorder="1" applyAlignment="1">
      <alignment horizontal="left" indent="4"/>
    </xf>
    <xf numFmtId="0" fontId="52" fillId="0" borderId="26" xfId="0" applyFont="1" applyFill="1" applyBorder="1" applyAlignment="1">
      <alignment horizontal="left" indent="6"/>
    </xf>
    <xf numFmtId="4" fontId="52" fillId="0" borderId="28" xfId="0" applyNumberFormat="1" applyFont="1" applyFill="1" applyBorder="1"/>
    <xf numFmtId="0" fontId="52" fillId="0" borderId="26" xfId="0" applyFont="1" applyBorder="1" applyAlignment="1">
      <alignment horizontal="left" indent="4"/>
    </xf>
    <xf numFmtId="0" fontId="53" fillId="0" borderId="26" xfId="0" applyFont="1" applyFill="1" applyBorder="1" applyAlignment="1">
      <alignment wrapText="1"/>
    </xf>
    <xf numFmtId="0" fontId="51" fillId="0" borderId="26" xfId="0" applyFont="1" applyFill="1" applyBorder="1"/>
    <xf numFmtId="0" fontId="53" fillId="0" borderId="26" xfId="0" applyFont="1" applyFill="1" applyBorder="1" applyAlignment="1">
      <alignment horizontal="left" indent="2"/>
    </xf>
    <xf numFmtId="165" fontId="52" fillId="11" borderId="0" xfId="0" applyNumberFormat="1" applyFont="1" applyFill="1" applyBorder="1"/>
    <xf numFmtId="0" fontId="52" fillId="0" borderId="26" xfId="0" applyFont="1" applyBorder="1" applyAlignment="1">
      <alignment horizontal="left" indent="2"/>
    </xf>
    <xf numFmtId="0" fontId="53" fillId="0" borderId="29" xfId="0" applyFont="1" applyBorder="1"/>
    <xf numFmtId="165" fontId="51" fillId="0" borderId="38" xfId="0" applyNumberFormat="1" applyFont="1" applyFill="1" applyBorder="1"/>
    <xf numFmtId="165" fontId="51" fillId="0" borderId="45" xfId="0" applyNumberFormat="1" applyFont="1" applyFill="1" applyBorder="1"/>
    <xf numFmtId="0" fontId="52" fillId="0" borderId="0" xfId="0" applyFont="1" applyFill="1"/>
    <xf numFmtId="0" fontId="51" fillId="0" borderId="48" xfId="0" applyFont="1" applyBorder="1"/>
    <xf numFmtId="165" fontId="51" fillId="0" borderId="49" xfId="0" applyNumberFormat="1" applyFont="1" applyFill="1" applyBorder="1"/>
    <xf numFmtId="165" fontId="51" fillId="0" borderId="31" xfId="0" applyNumberFormat="1" applyFont="1" applyFill="1" applyBorder="1"/>
    <xf numFmtId="165" fontId="51" fillId="0" borderId="50" xfId="0" applyNumberFormat="1" applyFont="1" applyFill="1" applyBorder="1"/>
    <xf numFmtId="165" fontId="51" fillId="0" borderId="51" xfId="0" applyNumberFormat="1" applyFont="1" applyFill="1" applyBorder="1"/>
    <xf numFmtId="0" fontId="51" fillId="0" borderId="18" xfId="0" applyFont="1" applyBorder="1"/>
    <xf numFmtId="165" fontId="51" fillId="0" borderId="37" xfId="0" applyNumberFormat="1" applyFont="1" applyFill="1" applyBorder="1"/>
    <xf numFmtId="165" fontId="51" fillId="0" borderId="44" xfId="0" applyNumberFormat="1" applyFont="1" applyFill="1" applyBorder="1"/>
    <xf numFmtId="165" fontId="51" fillId="0" borderId="20" xfId="0" applyNumberFormat="1" applyFont="1" applyFill="1" applyBorder="1"/>
    <xf numFmtId="0" fontId="53" fillId="0" borderId="26" xfId="0" applyFont="1" applyBorder="1"/>
    <xf numFmtId="172" fontId="51" fillId="0" borderId="0" xfId="0" applyNumberFormat="1" applyFont="1" applyBorder="1"/>
    <xf numFmtId="172" fontId="51" fillId="0" borderId="28" xfId="0" applyNumberFormat="1" applyFont="1" applyBorder="1"/>
    <xf numFmtId="172" fontId="52" fillId="0" borderId="0" xfId="0" applyNumberFormat="1" applyFont="1" applyBorder="1"/>
    <xf numFmtId="172" fontId="52" fillId="0" borderId="28" xfId="0" applyNumberFormat="1" applyFont="1" applyBorder="1"/>
    <xf numFmtId="0" fontId="52" fillId="0" borderId="26" xfId="0" applyFont="1" applyBorder="1" applyAlignment="1">
      <alignment horizontal="left" indent="6"/>
    </xf>
    <xf numFmtId="0" fontId="53" fillId="0" borderId="26" xfId="0" applyFont="1" applyBorder="1" applyAlignment="1">
      <alignment wrapText="1"/>
    </xf>
    <xf numFmtId="0" fontId="51" fillId="0" borderId="26" xfId="0" applyFont="1" applyBorder="1"/>
    <xf numFmtId="0" fontId="52" fillId="0" borderId="28" xfId="0" applyFont="1" applyBorder="1"/>
    <xf numFmtId="0" fontId="53" fillId="0" borderId="26" xfId="0" applyFont="1" applyBorder="1" applyAlignment="1">
      <alignment horizontal="left" indent="2"/>
    </xf>
    <xf numFmtId="0" fontId="52" fillId="0" borderId="24" xfId="0" applyFont="1" applyBorder="1" applyAlignment="1">
      <alignment horizontal="left" indent="2"/>
    </xf>
    <xf numFmtId="172" fontId="52" fillId="0" borderId="11" xfId="0" applyNumberFormat="1" applyFont="1" applyBorder="1"/>
    <xf numFmtId="172" fontId="52" fillId="0" borderId="25" xfId="0" applyNumberFormat="1" applyFont="1" applyBorder="1"/>
    <xf numFmtId="0" fontId="51" fillId="0" borderId="29" xfId="0" applyFont="1" applyBorder="1"/>
    <xf numFmtId="0" fontId="6" fillId="0" borderId="37" xfId="0" applyFont="1" applyBorder="1"/>
    <xf numFmtId="0" fontId="52" fillId="0" borderId="38" xfId="0" applyFont="1" applyBorder="1"/>
    <xf numFmtId="3" fontId="51" fillId="0" borderId="45" xfId="0" applyNumberFormat="1" applyFont="1" applyFill="1" applyBorder="1"/>
    <xf numFmtId="0" fontId="51" fillId="0" borderId="52" xfId="0" applyFont="1" applyBorder="1"/>
    <xf numFmtId="172" fontId="51" fillId="0" borderId="53" xfId="4" applyNumberFormat="1" applyFont="1" applyBorder="1"/>
    <xf numFmtId="172" fontId="51" fillId="0" borderId="54" xfId="4" applyNumberFormat="1" applyFont="1" applyBorder="1"/>
    <xf numFmtId="172" fontId="51" fillId="0" borderId="55" xfId="4" applyNumberFormat="1" applyFont="1" applyBorder="1"/>
    <xf numFmtId="172" fontId="51" fillId="0" borderId="56" xfId="4" applyNumberFormat="1" applyFont="1" applyBorder="1"/>
    <xf numFmtId="165" fontId="52" fillId="11" borderId="28" xfId="0" applyNumberFormat="1" applyFont="1" applyFill="1" applyBorder="1"/>
    <xf numFmtId="165" fontId="51" fillId="0" borderId="53" xfId="0" applyNumberFormat="1" applyFont="1" applyFill="1" applyBorder="1"/>
    <xf numFmtId="165" fontId="51" fillId="0" borderId="54" xfId="0" applyNumberFormat="1" applyFont="1" applyFill="1" applyBorder="1"/>
    <xf numFmtId="165" fontId="51" fillId="0" borderId="55" xfId="0" applyNumberFormat="1" applyFont="1" applyFill="1" applyBorder="1"/>
    <xf numFmtId="165" fontId="51" fillId="0" borderId="56" xfId="0" applyNumberFormat="1" applyFont="1" applyFill="1" applyBorder="1"/>
    <xf numFmtId="0" fontId="10" fillId="3" borderId="2" xfId="0" applyFont="1" applyFill="1" applyBorder="1" applyAlignment="1">
      <alignment horizontal="center" vertical="center"/>
    </xf>
    <xf numFmtId="0" fontId="10" fillId="3" borderId="33" xfId="0" applyFont="1" applyFill="1" applyBorder="1" applyAlignment="1">
      <alignment horizontal="center" vertical="center"/>
    </xf>
    <xf numFmtId="0" fontId="6" fillId="0" borderId="16" xfId="0" applyFont="1" applyBorder="1"/>
    <xf numFmtId="0" fontId="6" fillId="0" borderId="5" xfId="0" applyFont="1" applyBorder="1"/>
    <xf numFmtId="0" fontId="6" fillId="0" borderId="17" xfId="0" applyFont="1" applyBorder="1"/>
    <xf numFmtId="0" fontId="10" fillId="0" borderId="58" xfId="0" applyFont="1" applyBorder="1"/>
    <xf numFmtId="165" fontId="10" fillId="0" borderId="8" xfId="0" applyNumberFormat="1" applyFont="1" applyBorder="1"/>
    <xf numFmtId="172" fontId="10" fillId="0" borderId="8" xfId="0" applyNumberFormat="1" applyFont="1" applyBorder="1"/>
    <xf numFmtId="172" fontId="10" fillId="0" borderId="33" xfId="0" applyNumberFormat="1" applyFont="1" applyBorder="1"/>
    <xf numFmtId="0" fontId="6" fillId="0" borderId="16" xfId="0" applyFont="1" applyBorder="1" applyAlignment="1">
      <alignment horizontal="left" indent="2"/>
    </xf>
    <xf numFmtId="172" fontId="6" fillId="0" borderId="5" xfId="0" applyNumberFormat="1" applyFont="1" applyBorder="1"/>
    <xf numFmtId="172" fontId="6" fillId="0" borderId="17" xfId="0" applyNumberFormat="1" applyFont="1" applyBorder="1"/>
    <xf numFmtId="0" fontId="10" fillId="0" borderId="59" xfId="0" applyFont="1" applyBorder="1"/>
    <xf numFmtId="165" fontId="10" fillId="0" borderId="2" xfId="0" applyNumberFormat="1" applyFont="1" applyBorder="1"/>
    <xf numFmtId="172" fontId="10" fillId="0" borderId="2" xfId="0" applyNumberFormat="1" applyFont="1" applyBorder="1"/>
    <xf numFmtId="172" fontId="10" fillId="0" borderId="60" xfId="0" applyNumberFormat="1" applyFont="1" applyBorder="1"/>
    <xf numFmtId="0" fontId="6" fillId="0" borderId="58" xfId="0" applyFont="1" applyBorder="1" applyAlignment="1">
      <alignment horizontal="left" indent="2"/>
    </xf>
    <xf numFmtId="172" fontId="6" fillId="0" borderId="8" xfId="0" applyNumberFormat="1" applyFont="1" applyBorder="1"/>
    <xf numFmtId="0" fontId="10" fillId="0" borderId="18" xfId="0" applyFont="1" applyBorder="1" applyAlignment="1">
      <alignment horizontal="center"/>
    </xf>
    <xf numFmtId="165" fontId="10" fillId="0" borderId="19" xfId="0" applyNumberFormat="1" applyFont="1" applyBorder="1"/>
    <xf numFmtId="0" fontId="0" fillId="3" borderId="27" xfId="0" applyFill="1" applyBorder="1"/>
    <xf numFmtId="0" fontId="10" fillId="3" borderId="5" xfId="0" applyFont="1" applyFill="1" applyBorder="1" applyAlignment="1">
      <alignment horizontal="center"/>
    </xf>
    <xf numFmtId="0" fontId="6" fillId="3" borderId="8" xfId="0" applyFont="1" applyFill="1" applyBorder="1"/>
    <xf numFmtId="0" fontId="10" fillId="0" borderId="2" xfId="0" applyFont="1" applyBorder="1"/>
    <xf numFmtId="0" fontId="6" fillId="0" borderId="2" xfId="0" applyFont="1" applyBorder="1"/>
    <xf numFmtId="165" fontId="6" fillId="0" borderId="2" xfId="0" applyNumberFormat="1" applyFont="1" applyBorder="1"/>
    <xf numFmtId="0" fontId="6" fillId="0" borderId="5" xfId="0" applyFont="1" applyBorder="1" applyAlignment="1">
      <alignment horizontal="left" indent="2"/>
    </xf>
    <xf numFmtId="0" fontId="6" fillId="0" borderId="8" xfId="0" applyFont="1" applyBorder="1" applyAlignment="1">
      <alignment horizontal="left" indent="2"/>
    </xf>
    <xf numFmtId="165" fontId="6" fillId="0" borderId="0" xfId="0" applyNumberFormat="1" applyFont="1"/>
    <xf numFmtId="165" fontId="6" fillId="5" borderId="0" xfId="0" applyNumberFormat="1" applyFont="1" applyFill="1"/>
    <xf numFmtId="0" fontId="0" fillId="9" borderId="0" xfId="1" applyFont="1" applyFill="1"/>
    <xf numFmtId="0" fontId="3" fillId="9" borderId="0" xfId="1" applyFill="1"/>
    <xf numFmtId="0" fontId="4" fillId="0" borderId="0" xfId="1" applyFont="1"/>
    <xf numFmtId="165" fontId="3" fillId="9" borderId="0" xfId="1" applyNumberFormat="1" applyFill="1"/>
    <xf numFmtId="172" fontId="3" fillId="0" borderId="0" xfId="1" applyNumberFormat="1"/>
    <xf numFmtId="0" fontId="9" fillId="9" borderId="13"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9" fillId="0" borderId="16" xfId="0" applyFont="1" applyBorder="1" applyAlignment="1">
      <alignment horizontal="left" indent="1"/>
    </xf>
    <xf numFmtId="165" fontId="9" fillId="0" borderId="5" xfId="0" applyNumberFormat="1" applyFont="1" applyBorder="1"/>
    <xf numFmtId="165" fontId="9" fillId="0" borderId="6" xfId="0" applyNumberFormat="1" applyFont="1" applyBorder="1"/>
    <xf numFmtId="165" fontId="9" fillId="0" borderId="28" xfId="0" applyNumberFormat="1" applyFont="1" applyBorder="1"/>
    <xf numFmtId="165" fontId="8" fillId="0" borderId="5" xfId="0" applyNumberFormat="1" applyFont="1" applyBorder="1"/>
    <xf numFmtId="165" fontId="8" fillId="0" borderId="6" xfId="0" applyNumberFormat="1" applyFont="1" applyBorder="1"/>
    <xf numFmtId="165" fontId="8" fillId="0" borderId="28" xfId="0" applyNumberFormat="1" applyFont="1" applyBorder="1"/>
    <xf numFmtId="0" fontId="8" fillId="0" borderId="16" xfId="0" applyFont="1" applyBorder="1" applyAlignment="1">
      <alignment horizontal="left" indent="3"/>
    </xf>
    <xf numFmtId="165" fontId="8" fillId="0" borderId="5" xfId="0" applyNumberFormat="1" applyFont="1" applyFill="1" applyBorder="1"/>
    <xf numFmtId="165" fontId="8" fillId="0" borderId="6" xfId="0" applyNumberFormat="1" applyFont="1" applyFill="1" applyBorder="1"/>
    <xf numFmtId="0" fontId="9" fillId="0" borderId="58" xfId="0" applyFont="1" applyBorder="1" applyAlignment="1">
      <alignment horizontal="left" indent="1"/>
    </xf>
    <xf numFmtId="165" fontId="9" fillId="0" borderId="8" xfId="0" applyNumberFormat="1" applyFont="1" applyBorder="1"/>
    <xf numFmtId="165" fontId="9" fillId="0" borderId="8" xfId="0" applyNumberFormat="1" applyFont="1" applyFill="1" applyBorder="1"/>
    <xf numFmtId="165" fontId="9" fillId="0" borderId="12" xfId="0" applyNumberFormat="1" applyFont="1" applyFill="1" applyBorder="1"/>
    <xf numFmtId="165" fontId="9" fillId="0" borderId="25" xfId="0" applyNumberFormat="1" applyFont="1" applyBorder="1"/>
    <xf numFmtId="165" fontId="9" fillId="0" borderId="19" xfId="0" applyNumberFormat="1" applyFont="1" applyBorder="1"/>
    <xf numFmtId="165" fontId="9" fillId="0" borderId="44" xfId="0" applyNumberFormat="1" applyFont="1" applyBorder="1"/>
    <xf numFmtId="165" fontId="9" fillId="0" borderId="45" xfId="0" applyNumberFormat="1" applyFont="1" applyBorder="1"/>
    <xf numFmtId="0" fontId="8" fillId="0" borderId="31" xfId="0" applyFont="1" applyBorder="1"/>
    <xf numFmtId="0" fontId="9" fillId="0" borderId="38" xfId="0" applyFont="1" applyBorder="1" applyAlignment="1">
      <alignment horizontal="left" indent="1"/>
    </xf>
    <xf numFmtId="0" fontId="8" fillId="0" borderId="38" xfId="0" applyFont="1" applyBorder="1"/>
    <xf numFmtId="0" fontId="9" fillId="0" borderId="48" xfId="0" applyFont="1" applyBorder="1" applyAlignment="1">
      <alignment horizontal="left" indent="1"/>
    </xf>
    <xf numFmtId="165" fontId="9" fillId="0" borderId="22" xfId="0" applyNumberFormat="1" applyFont="1" applyBorder="1"/>
    <xf numFmtId="165" fontId="9" fillId="0" borderId="50" xfId="0" applyNumberFormat="1" applyFont="1" applyBorder="1"/>
    <xf numFmtId="165" fontId="9" fillId="0" borderId="23" xfId="0" applyNumberFormat="1" applyFont="1" applyBorder="1"/>
    <xf numFmtId="0" fontId="8" fillId="0" borderId="58" xfId="0" applyFont="1" applyBorder="1" applyAlignment="1">
      <alignment horizontal="left" indent="3"/>
    </xf>
    <xf numFmtId="165" fontId="8" fillId="0" borderId="8" xfId="0" applyNumberFormat="1" applyFont="1" applyBorder="1"/>
    <xf numFmtId="165" fontId="8" fillId="0" borderId="12" xfId="0" applyNumberFormat="1" applyFont="1" applyBorder="1"/>
    <xf numFmtId="165" fontId="8" fillId="0" borderId="25" xfId="0" applyNumberFormat="1" applyFont="1" applyBorder="1"/>
    <xf numFmtId="0" fontId="9" fillId="0" borderId="18" xfId="0" applyFont="1" applyBorder="1" applyAlignment="1">
      <alignment horizontal="left" vertical="center" wrapText="1" indent="1"/>
    </xf>
    <xf numFmtId="0" fontId="10" fillId="9" borderId="11" xfId="0" applyFont="1" applyFill="1" applyBorder="1" applyAlignment="1">
      <alignment horizontal="center"/>
    </xf>
    <xf numFmtId="0" fontId="10" fillId="0" borderId="0" xfId="0" applyFont="1" applyAlignment="1">
      <alignment horizontal="left" indent="1"/>
    </xf>
    <xf numFmtId="165" fontId="10" fillId="0" borderId="0" xfId="0" applyNumberFormat="1" applyFont="1"/>
    <xf numFmtId="0" fontId="6" fillId="0" borderId="0" xfId="0" applyFont="1" applyAlignment="1">
      <alignment horizontal="left" indent="2"/>
    </xf>
    <xf numFmtId="0" fontId="10" fillId="0" borderId="0" xfId="0" applyFont="1" applyAlignment="1">
      <alignment horizontal="left" indent="2"/>
    </xf>
    <xf numFmtId="0" fontId="6" fillId="0" borderId="0" xfId="0" applyFont="1" applyAlignment="1">
      <alignment horizontal="left" indent="4"/>
    </xf>
    <xf numFmtId="0" fontId="10" fillId="0" borderId="40" xfId="0" applyFont="1" applyBorder="1"/>
    <xf numFmtId="165" fontId="10" fillId="0" borderId="40" xfId="0" applyNumberFormat="1" applyFont="1" applyBorder="1"/>
    <xf numFmtId="165" fontId="51" fillId="0" borderId="0" xfId="0" applyNumberFormat="1" applyFont="1" applyBorder="1"/>
    <xf numFmtId="165" fontId="51" fillId="0" borderId="28" xfId="0" applyNumberFormat="1" applyFont="1" applyBorder="1"/>
    <xf numFmtId="3" fontId="51" fillId="0" borderId="45" xfId="0" applyNumberFormat="1" applyFont="1" applyBorder="1"/>
    <xf numFmtId="165" fontId="52" fillId="0" borderId="0" xfId="0" applyNumberFormat="1" applyFont="1" applyBorder="1"/>
    <xf numFmtId="165" fontId="52" fillId="0" borderId="28" xfId="0" applyNumberFormat="1" applyFont="1" applyBorder="1"/>
    <xf numFmtId="165" fontId="51" fillId="0" borderId="38" xfId="0" applyNumberFormat="1" applyFont="1" applyBorder="1"/>
    <xf numFmtId="165" fontId="51" fillId="0" borderId="45" xfId="0" applyNumberFormat="1" applyFont="1" applyBorder="1"/>
    <xf numFmtId="165" fontId="51" fillId="0" borderId="53" xfId="0" applyNumberFormat="1" applyFont="1" applyBorder="1"/>
    <xf numFmtId="165" fontId="51" fillId="0" borderId="54" xfId="0" applyNumberFormat="1" applyFont="1" applyBorder="1"/>
    <xf numFmtId="165" fontId="51" fillId="0" borderId="55" xfId="0" applyNumberFormat="1" applyFont="1" applyBorder="1"/>
    <xf numFmtId="165" fontId="51" fillId="0" borderId="56" xfId="0" applyNumberFormat="1" applyFont="1" applyBorder="1"/>
    <xf numFmtId="0" fontId="15" fillId="0" borderId="0" xfId="2"/>
    <xf numFmtId="0" fontId="15" fillId="7" borderId="38" xfId="2" applyFill="1" applyBorder="1"/>
    <xf numFmtId="0" fontId="15" fillId="7" borderId="38" xfId="2" applyFill="1" applyBorder="1" applyAlignment="1">
      <alignment horizontal="left"/>
    </xf>
    <xf numFmtId="0" fontId="58" fillId="12" borderId="26" xfId="2" applyFont="1" applyFill="1" applyBorder="1"/>
    <xf numFmtId="4" fontId="24" fillId="12" borderId="5" xfId="2" applyNumberFormat="1" applyFont="1" applyFill="1" applyBorder="1" applyAlignment="1">
      <alignment horizontal="center"/>
    </xf>
    <xf numFmtId="4" fontId="24" fillId="12" borderId="28" xfId="2" applyNumberFormat="1" applyFont="1" applyFill="1" applyBorder="1" applyAlignment="1">
      <alignment horizontal="center"/>
    </xf>
    <xf numFmtId="0" fontId="21" fillId="12" borderId="26" xfId="2" applyFont="1" applyFill="1" applyBorder="1"/>
    <xf numFmtId="165" fontId="21" fillId="12" borderId="5" xfId="2" applyNumberFormat="1" applyFont="1" applyFill="1" applyBorder="1" applyAlignment="1">
      <alignment horizontal="right"/>
    </xf>
    <xf numFmtId="165" fontId="21" fillId="12" borderId="28" xfId="2" applyNumberFormat="1" applyFont="1" applyFill="1" applyBorder="1" applyAlignment="1">
      <alignment horizontal="right"/>
    </xf>
    <xf numFmtId="0" fontId="58" fillId="12" borderId="24" xfId="2" applyFont="1" applyFill="1" applyBorder="1"/>
    <xf numFmtId="165" fontId="24" fillId="12" borderId="8" xfId="2" applyNumberFormat="1" applyFont="1" applyFill="1" applyBorder="1" applyAlignment="1">
      <alignment horizontal="center"/>
    </xf>
    <xf numFmtId="165" fontId="24" fillId="12" borderId="25" xfId="2" applyNumberFormat="1" applyFont="1" applyFill="1" applyBorder="1" applyAlignment="1">
      <alignment horizontal="center"/>
    </xf>
    <xf numFmtId="0" fontId="21" fillId="12" borderId="62" xfId="2" applyFont="1" applyFill="1" applyBorder="1" applyAlignment="1">
      <alignment horizontal="center"/>
    </xf>
    <xf numFmtId="165" fontId="21" fillId="12" borderId="2" xfId="5" applyNumberFormat="1" applyFont="1" applyFill="1" applyBorder="1"/>
    <xf numFmtId="165" fontId="21" fillId="12" borderId="63" xfId="5" applyNumberFormat="1" applyFont="1" applyFill="1" applyBorder="1"/>
    <xf numFmtId="0" fontId="24" fillId="12" borderId="26" xfId="2" applyFont="1" applyFill="1" applyBorder="1" applyAlignment="1">
      <alignment horizontal="left" indent="3"/>
    </xf>
    <xf numFmtId="165" fontId="24" fillId="12" borderId="27" xfId="2" applyNumberFormat="1" applyFont="1" applyFill="1" applyBorder="1"/>
    <xf numFmtId="165" fontId="24" fillId="12" borderId="43" xfId="2" applyNumberFormat="1" applyFont="1" applyFill="1" applyBorder="1"/>
    <xf numFmtId="165" fontId="24" fillId="12" borderId="5" xfId="2" applyNumberFormat="1" applyFont="1" applyFill="1" applyBorder="1"/>
    <xf numFmtId="165" fontId="24" fillId="12" borderId="28" xfId="2" applyNumberFormat="1" applyFont="1" applyFill="1" applyBorder="1"/>
    <xf numFmtId="165" fontId="24" fillId="12" borderId="5" xfId="5" applyNumberFormat="1" applyFont="1" applyFill="1" applyBorder="1"/>
    <xf numFmtId="165" fontId="24" fillId="12" borderId="28" xfId="5" applyNumberFormat="1" applyFont="1" applyFill="1" applyBorder="1"/>
    <xf numFmtId="165" fontId="24" fillId="12" borderId="5" xfId="5" applyNumberFormat="1" applyFont="1" applyFill="1" applyBorder="1" applyAlignment="1">
      <alignment horizontal="right"/>
    </xf>
    <xf numFmtId="165" fontId="24" fillId="12" borderId="28" xfId="5" applyNumberFormat="1" applyFont="1" applyFill="1" applyBorder="1" applyAlignment="1">
      <alignment horizontal="right"/>
    </xf>
    <xf numFmtId="0" fontId="59" fillId="12" borderId="26" xfId="2" applyFont="1" applyFill="1" applyBorder="1" applyAlignment="1">
      <alignment horizontal="left" indent="3"/>
    </xf>
    <xf numFmtId="165" fontId="59" fillId="12" borderId="5" xfId="5" applyNumberFormat="1" applyFont="1" applyFill="1" applyBorder="1" applyAlignment="1">
      <alignment horizontal="right"/>
    </xf>
    <xf numFmtId="165" fontId="59" fillId="12" borderId="28" xfId="5" applyNumberFormat="1" applyFont="1" applyFill="1" applyBorder="1" applyAlignment="1">
      <alignment horizontal="right"/>
    </xf>
    <xf numFmtId="0" fontId="24" fillId="12" borderId="24" xfId="2" applyFont="1" applyFill="1" applyBorder="1" applyAlignment="1">
      <alignment horizontal="left" indent="3"/>
    </xf>
    <xf numFmtId="165" fontId="24" fillId="12" borderId="8" xfId="5" applyNumberFormat="1" applyFont="1" applyFill="1" applyBorder="1" applyAlignment="1">
      <alignment horizontal="right"/>
    </xf>
    <xf numFmtId="165" fontId="24" fillId="12" borderId="25" xfId="5" applyNumberFormat="1" applyFont="1" applyFill="1" applyBorder="1" applyAlignment="1">
      <alignment horizontal="right"/>
    </xf>
    <xf numFmtId="0" fontId="21" fillId="7" borderId="62" xfId="2" applyFont="1" applyFill="1" applyBorder="1" applyAlignment="1">
      <alignment horizontal="center"/>
    </xf>
    <xf numFmtId="165" fontId="21" fillId="7" borderId="2" xfId="5" applyNumberFormat="1" applyFont="1" applyFill="1" applyBorder="1"/>
    <xf numFmtId="165" fontId="21" fillId="7" borderId="63" xfId="5" applyNumberFormat="1" applyFont="1" applyFill="1" applyBorder="1"/>
    <xf numFmtId="0" fontId="60" fillId="7" borderId="26" xfId="2" applyFont="1" applyFill="1" applyBorder="1" applyAlignment="1">
      <alignment horizontal="center"/>
    </xf>
    <xf numFmtId="165" fontId="61" fillId="7" borderId="8" xfId="5" applyNumberFormat="1" applyFont="1" applyFill="1" applyBorder="1"/>
    <xf numFmtId="165" fontId="61" fillId="7" borderId="28" xfId="5" applyNumberFormat="1" applyFont="1" applyFill="1" applyBorder="1"/>
    <xf numFmtId="165" fontId="24" fillId="13" borderId="28" xfId="5" applyNumberFormat="1" applyFont="1" applyFill="1" applyBorder="1" applyAlignment="1">
      <alignment horizontal="right"/>
    </xf>
    <xf numFmtId="0" fontId="21" fillId="14" borderId="62" xfId="2" applyFont="1" applyFill="1" applyBorder="1" applyAlignment="1">
      <alignment horizontal="center"/>
    </xf>
    <xf numFmtId="165" fontId="21" fillId="14" borderId="2" xfId="5" applyNumberFormat="1" applyFont="1" applyFill="1" applyBorder="1"/>
    <xf numFmtId="165" fontId="21" fillId="14" borderId="63" xfId="5" applyNumberFormat="1" applyFont="1" applyFill="1" applyBorder="1"/>
    <xf numFmtId="0" fontId="39" fillId="0" borderId="24" xfId="2" applyFont="1" applyBorder="1" applyAlignment="1">
      <alignment horizontal="center"/>
    </xf>
    <xf numFmtId="0" fontId="15" fillId="0" borderId="8" xfId="2" applyBorder="1"/>
    <xf numFmtId="0" fontId="15" fillId="12" borderId="25" xfId="2" applyFill="1" applyBorder="1"/>
    <xf numFmtId="0" fontId="21" fillId="7" borderId="24" xfId="2" applyFont="1" applyFill="1" applyBorder="1" applyAlignment="1">
      <alignment horizontal="center"/>
    </xf>
    <xf numFmtId="165" fontId="21" fillId="7" borderId="8" xfId="5" applyNumberFormat="1" applyFont="1" applyFill="1" applyBorder="1"/>
    <xf numFmtId="165" fontId="21" fillId="7" borderId="25" xfId="5" applyNumberFormat="1" applyFont="1" applyFill="1" applyBorder="1"/>
    <xf numFmtId="0" fontId="21" fillId="9" borderId="62" xfId="2" applyFont="1" applyFill="1" applyBorder="1" applyAlignment="1">
      <alignment horizontal="center"/>
    </xf>
    <xf numFmtId="165" fontId="21" fillId="9" borderId="2" xfId="5" applyNumberFormat="1" applyFont="1" applyFill="1" applyBorder="1"/>
    <xf numFmtId="165" fontId="21" fillId="9" borderId="63" xfId="5" applyNumberFormat="1" applyFont="1" applyFill="1" applyBorder="1"/>
    <xf numFmtId="0" fontId="15" fillId="7" borderId="0" xfId="2" applyFill="1"/>
    <xf numFmtId="0" fontId="15" fillId="11" borderId="0" xfId="2" applyFill="1"/>
    <xf numFmtId="0" fontId="21" fillId="12" borderId="26" xfId="2" applyFont="1" applyFill="1" applyBorder="1" applyAlignment="1">
      <alignment horizontal="center"/>
    </xf>
    <xf numFmtId="165" fontId="21" fillId="0" borderId="5" xfId="2" applyNumberFormat="1" applyFont="1" applyFill="1" applyBorder="1" applyAlignment="1">
      <alignment horizontal="right"/>
    </xf>
    <xf numFmtId="165" fontId="21" fillId="0" borderId="28" xfId="2" applyNumberFormat="1" applyFont="1" applyFill="1" applyBorder="1" applyAlignment="1">
      <alignment horizontal="right"/>
    </xf>
    <xf numFmtId="165" fontId="24" fillId="0" borderId="27" xfId="2" applyNumberFormat="1" applyFont="1" applyFill="1" applyBorder="1"/>
    <xf numFmtId="165" fontId="24" fillId="0" borderId="43" xfId="2" applyNumberFormat="1" applyFont="1" applyFill="1" applyBorder="1"/>
    <xf numFmtId="165" fontId="24" fillId="0" borderId="5" xfId="2" applyNumberFormat="1" applyFont="1" applyFill="1" applyBorder="1"/>
    <xf numFmtId="165" fontId="24" fillId="0" borderId="28" xfId="2" applyNumberFormat="1" applyFont="1" applyFill="1" applyBorder="1"/>
    <xf numFmtId="165" fontId="24" fillId="0" borderId="5" xfId="5" applyNumberFormat="1" applyFont="1" applyFill="1" applyBorder="1"/>
    <xf numFmtId="165" fontId="24" fillId="0" borderId="28" xfId="5" applyNumberFormat="1" applyFont="1" applyFill="1" applyBorder="1"/>
    <xf numFmtId="165" fontId="24" fillId="0" borderId="5" xfId="5" applyNumberFormat="1" applyFont="1" applyFill="1" applyBorder="1" applyAlignment="1">
      <alignment horizontal="right"/>
    </xf>
    <xf numFmtId="165" fontId="24" fillId="0" borderId="28" xfId="5" applyNumberFormat="1" applyFont="1" applyFill="1" applyBorder="1" applyAlignment="1">
      <alignment horizontal="right"/>
    </xf>
    <xf numFmtId="165" fontId="59" fillId="0" borderId="5" xfId="5" applyNumberFormat="1" applyFont="1" applyFill="1" applyBorder="1" applyAlignment="1">
      <alignment horizontal="right"/>
    </xf>
    <xf numFmtId="165" fontId="59" fillId="0" borderId="28" xfId="5" applyNumberFormat="1" applyFont="1" applyFill="1" applyBorder="1" applyAlignment="1">
      <alignment horizontal="right"/>
    </xf>
    <xf numFmtId="165" fontId="24" fillId="0" borderId="8" xfId="5" applyNumberFormat="1" applyFont="1" applyFill="1" applyBorder="1" applyAlignment="1">
      <alignment horizontal="right"/>
    </xf>
    <xf numFmtId="165" fontId="24" fillId="0" borderId="25" xfId="5" applyNumberFormat="1" applyFont="1" applyFill="1" applyBorder="1" applyAlignment="1">
      <alignment horizontal="right"/>
    </xf>
    <xf numFmtId="0" fontId="21" fillId="0" borderId="24" xfId="2" applyFont="1" applyFill="1" applyBorder="1" applyAlignment="1">
      <alignment horizontal="center"/>
    </xf>
    <xf numFmtId="165" fontId="21" fillId="0" borderId="8" xfId="5" applyNumberFormat="1" applyFont="1" applyFill="1" applyBorder="1"/>
    <xf numFmtId="165" fontId="21" fillId="0" borderId="25" xfId="5" applyNumberFormat="1" applyFont="1" applyFill="1" applyBorder="1"/>
    <xf numFmtId="0" fontId="15" fillId="0" borderId="0" xfId="2" applyFill="1"/>
    <xf numFmtId="0" fontId="24" fillId="0" borderId="26" xfId="2" applyFont="1" applyFill="1" applyBorder="1" applyAlignment="1">
      <alignment horizontal="left" indent="3"/>
    </xf>
    <xf numFmtId="0" fontId="59" fillId="0" borderId="26" xfId="2" applyFont="1" applyFill="1" applyBorder="1" applyAlignment="1">
      <alignment horizontal="left" indent="3"/>
    </xf>
    <xf numFmtId="0" fontId="24" fillId="0" borderId="24" xfId="2" applyFont="1" applyFill="1" applyBorder="1" applyAlignment="1">
      <alignment horizontal="left" indent="3"/>
    </xf>
    <xf numFmtId="0" fontId="31" fillId="0" borderId="0" xfId="2" applyFont="1"/>
    <xf numFmtId="0" fontId="21" fillId="9" borderId="14" xfId="2" applyFont="1" applyFill="1" applyBorder="1" applyAlignment="1">
      <alignment horizontal="centerContinuous" vertical="center"/>
    </xf>
    <xf numFmtId="0" fontId="21" fillId="9" borderId="57" xfId="2" applyFont="1" applyFill="1" applyBorder="1" applyAlignment="1">
      <alignment horizontal="centerContinuous" vertical="center"/>
    </xf>
    <xf numFmtId="0" fontId="21" fillId="9" borderId="47" xfId="2" applyFont="1" applyFill="1" applyBorder="1" applyAlignment="1">
      <alignment horizontal="centerContinuous" vertical="center"/>
    </xf>
    <xf numFmtId="0" fontId="21" fillId="9" borderId="8" xfId="2" applyFont="1" applyFill="1" applyBorder="1" applyAlignment="1">
      <alignment horizontal="center" vertical="center" wrapText="1"/>
    </xf>
    <xf numFmtId="0" fontId="21" fillId="9" borderId="12" xfId="2" applyFont="1" applyFill="1" applyBorder="1" applyAlignment="1">
      <alignment horizontal="center" vertical="center" wrapText="1"/>
    </xf>
    <xf numFmtId="0" fontId="21" fillId="9" borderId="25" xfId="2" applyFont="1" applyFill="1" applyBorder="1" applyAlignment="1">
      <alignment horizontal="center" vertical="center" wrapText="1"/>
    </xf>
    <xf numFmtId="0" fontId="21" fillId="9" borderId="58" xfId="2" applyFont="1" applyFill="1" applyBorder="1" applyAlignment="1">
      <alignment horizontal="left" indent="3"/>
    </xf>
    <xf numFmtId="0" fontId="24" fillId="0" borderId="58" xfId="2" applyFont="1" applyFill="1" applyBorder="1" applyAlignment="1">
      <alignment horizontal="left" indent="3"/>
    </xf>
    <xf numFmtId="165" fontId="24" fillId="0" borderId="12" xfId="5" applyNumberFormat="1" applyFont="1" applyFill="1" applyBorder="1" applyAlignment="1">
      <alignment horizontal="right"/>
    </xf>
    <xf numFmtId="0" fontId="21" fillId="9" borderId="59" xfId="2" applyFont="1" applyFill="1" applyBorder="1" applyAlignment="1">
      <alignment horizontal="center"/>
    </xf>
    <xf numFmtId="165" fontId="21" fillId="9" borderId="3" xfId="5" applyNumberFormat="1" applyFont="1" applyFill="1" applyBorder="1"/>
    <xf numFmtId="0" fontId="24" fillId="0" borderId="16" xfId="2" applyFont="1" applyFill="1" applyBorder="1" applyAlignment="1">
      <alignment horizontal="left" indent="3"/>
    </xf>
    <xf numFmtId="165" fontId="24" fillId="0" borderId="6" xfId="5" applyNumberFormat="1" applyFont="1" applyFill="1" applyBorder="1" applyAlignment="1">
      <alignment horizontal="right"/>
    </xf>
    <xf numFmtId="0" fontId="59" fillId="0" borderId="16" xfId="2" applyFont="1" applyFill="1" applyBorder="1" applyAlignment="1">
      <alignment horizontal="left" indent="3"/>
    </xf>
    <xf numFmtId="165" fontId="21" fillId="9" borderId="8" xfId="5" applyNumberFormat="1" applyFont="1" applyFill="1" applyBorder="1" applyAlignment="1">
      <alignment horizontal="right"/>
    </xf>
    <xf numFmtId="165" fontId="21" fillId="9" borderId="12" xfId="5" applyNumberFormat="1" applyFont="1" applyFill="1" applyBorder="1" applyAlignment="1">
      <alignment horizontal="right"/>
    </xf>
    <xf numFmtId="165" fontId="21" fillId="9" borderId="25" xfId="5" applyNumberFormat="1" applyFont="1" applyFill="1" applyBorder="1" applyAlignment="1">
      <alignment horizontal="right"/>
    </xf>
    <xf numFmtId="0" fontId="21" fillId="9" borderId="59" xfId="2" applyFont="1" applyFill="1" applyBorder="1" applyAlignment="1">
      <alignment horizontal="left" indent="3"/>
    </xf>
    <xf numFmtId="165" fontId="21" fillId="9" borderId="2" xfId="5" applyNumberFormat="1" applyFont="1" applyFill="1" applyBorder="1" applyAlignment="1">
      <alignment horizontal="right"/>
    </xf>
    <xf numFmtId="165" fontId="21" fillId="9" borderId="3" xfId="5" applyNumberFormat="1" applyFont="1" applyFill="1" applyBorder="1" applyAlignment="1">
      <alignment horizontal="right"/>
    </xf>
    <xf numFmtId="165" fontId="21" fillId="9" borderId="63" xfId="5" applyNumberFormat="1" applyFont="1" applyFill="1" applyBorder="1" applyAlignment="1">
      <alignment horizontal="right"/>
    </xf>
    <xf numFmtId="165" fontId="6" fillId="0" borderId="0" xfId="0" applyNumberFormat="1" applyFont="1" applyFill="1"/>
    <xf numFmtId="0" fontId="4" fillId="0" borderId="0" xfId="0" applyFont="1" applyAlignment="1">
      <alignment horizontal="center"/>
    </xf>
    <xf numFmtId="0" fontId="6" fillId="0" borderId="0" xfId="0" applyFont="1" applyFill="1" applyBorder="1"/>
    <xf numFmtId="165" fontId="10" fillId="0" borderId="6" xfId="0" applyNumberFormat="1" applyFont="1" applyFill="1" applyBorder="1"/>
    <xf numFmtId="165" fontId="10" fillId="0" borderId="2" xfId="0" applyNumberFormat="1" applyFont="1" applyFill="1" applyBorder="1"/>
    <xf numFmtId="0" fontId="0" fillId="0" borderId="0" xfId="1" applyFont="1" applyFill="1"/>
    <xf numFmtId="0" fontId="4" fillId="2" borderId="0" xfId="0" applyFont="1" applyFill="1"/>
    <xf numFmtId="0" fontId="6" fillId="0" borderId="0" xfId="0" applyFont="1" applyAlignment="1">
      <alignment horizontal="justify" vertical="center" wrapText="1"/>
    </xf>
    <xf numFmtId="0" fontId="6" fillId="0" borderId="7" xfId="0" applyFont="1" applyFill="1" applyBorder="1"/>
    <xf numFmtId="170" fontId="48" fillId="5" borderId="0" xfId="0" applyNumberFormat="1" applyFont="1" applyFill="1" applyBorder="1"/>
    <xf numFmtId="172" fontId="6" fillId="0" borderId="0" xfId="0" applyNumberFormat="1" applyFont="1" applyBorder="1"/>
    <xf numFmtId="0" fontId="48" fillId="0" borderId="7" xfId="0" applyFont="1" applyFill="1" applyBorder="1"/>
    <xf numFmtId="170" fontId="6" fillId="0" borderId="11" xfId="0" applyNumberFormat="1" applyFont="1" applyFill="1" applyBorder="1"/>
    <xf numFmtId="0" fontId="11" fillId="0" borderId="0" xfId="0" applyFont="1" applyAlignment="1">
      <alignment vertical="center"/>
    </xf>
    <xf numFmtId="0" fontId="10" fillId="0" borderId="1" xfId="0" applyFont="1" applyBorder="1" applyAlignment="1">
      <alignment horizontal="left" indent="1"/>
    </xf>
    <xf numFmtId="0" fontId="6" fillId="0" borderId="0" xfId="0" applyFont="1" applyAlignment="1">
      <alignment vertical="center" wrapText="1"/>
    </xf>
    <xf numFmtId="165" fontId="0" fillId="9" borderId="0" xfId="1" applyNumberFormat="1" applyFont="1" applyFill="1"/>
    <xf numFmtId="4" fontId="0" fillId="0" borderId="0" xfId="0" applyNumberFormat="1"/>
    <xf numFmtId="172" fontId="0" fillId="0" borderId="0" xfId="0" applyNumberFormat="1"/>
    <xf numFmtId="0" fontId="0" fillId="15" borderId="0" xfId="0" applyFill="1"/>
    <xf numFmtId="0" fontId="6" fillId="0" borderId="65" xfId="0" applyFont="1" applyBorder="1" applyAlignment="1">
      <alignment horizontal="left" indent="2"/>
    </xf>
    <xf numFmtId="169" fontId="47" fillId="16" borderId="66" xfId="0" applyNumberFormat="1" applyFont="1" applyFill="1" applyBorder="1" applyAlignment="1">
      <alignment horizontal="left" shrinkToFit="1"/>
    </xf>
    <xf numFmtId="169" fontId="48" fillId="0" borderId="26" xfId="0" applyNumberFormat="1" applyFont="1" applyFill="1" applyBorder="1" applyAlignment="1">
      <alignment horizontal="left" shrinkToFit="1"/>
    </xf>
    <xf numFmtId="169" fontId="48" fillId="0" borderId="26" xfId="0" applyNumberFormat="1" applyFont="1" applyBorder="1" applyAlignment="1">
      <alignment horizontal="left" shrinkToFit="1"/>
    </xf>
    <xf numFmtId="0" fontId="0" fillId="17" borderId="0" xfId="0" applyFill="1"/>
    <xf numFmtId="0" fontId="4" fillId="18" borderId="0" xfId="0" applyFont="1" applyFill="1" applyAlignment="1">
      <alignment horizontal="center"/>
    </xf>
    <xf numFmtId="165" fontId="4" fillId="18" borderId="64" xfId="0" applyNumberFormat="1" applyFont="1" applyFill="1" applyBorder="1"/>
    <xf numFmtId="164" fontId="0" fillId="15" borderId="0" xfId="7" applyFont="1" applyFill="1"/>
    <xf numFmtId="10" fontId="0" fillId="15" borderId="0" xfId="4" applyNumberFormat="1" applyFont="1" applyFill="1"/>
    <xf numFmtId="172" fontId="6" fillId="0" borderId="33" xfId="0" applyNumberFormat="1" applyFont="1" applyBorder="1"/>
    <xf numFmtId="172" fontId="10" fillId="0" borderId="41" xfId="0" applyNumberFormat="1" applyFont="1" applyBorder="1"/>
    <xf numFmtId="172" fontId="10" fillId="0" borderId="39" xfId="0" applyNumberFormat="1" applyFont="1" applyBorder="1"/>
    <xf numFmtId="169" fontId="47" fillId="17" borderId="0" xfId="0" applyNumberFormat="1" applyFont="1" applyFill="1" applyBorder="1" applyAlignment="1">
      <alignment horizontal="left" shrinkToFit="1"/>
    </xf>
    <xf numFmtId="4" fontId="4" fillId="17" borderId="0" xfId="0" applyNumberFormat="1" applyFont="1" applyFill="1"/>
    <xf numFmtId="172" fontId="4" fillId="0" borderId="0" xfId="4" applyNumberFormat="1" applyFont="1"/>
    <xf numFmtId="0" fontId="62" fillId="0" borderId="0" xfId="0" applyFont="1" applyBorder="1" applyAlignment="1">
      <alignment horizontal="center"/>
    </xf>
    <xf numFmtId="0" fontId="62" fillId="0" borderId="0" xfId="0" applyFont="1" applyBorder="1"/>
    <xf numFmtId="0" fontId="62" fillId="0" borderId="4" xfId="0" applyFont="1" applyBorder="1"/>
    <xf numFmtId="0" fontId="62" fillId="0" borderId="10" xfId="0" applyFont="1" applyBorder="1"/>
    <xf numFmtId="0" fontId="62" fillId="0" borderId="11" xfId="0" applyFont="1" applyBorder="1" applyAlignment="1">
      <alignment horizontal="center"/>
    </xf>
    <xf numFmtId="0" fontId="62" fillId="0" borderId="11" xfId="0" applyFont="1" applyBorder="1"/>
    <xf numFmtId="0" fontId="62" fillId="0" borderId="27" xfId="0" applyFont="1" applyBorder="1" applyAlignment="1">
      <alignment horizontal="center"/>
    </xf>
    <xf numFmtId="0" fontId="62" fillId="0" borderId="5" xfId="0" applyFont="1" applyBorder="1" applyAlignment="1">
      <alignment horizontal="center"/>
    </xf>
    <xf numFmtId="0" fontId="62" fillId="0" borderId="8" xfId="0" applyFont="1" applyBorder="1" applyAlignment="1">
      <alignment horizontal="center"/>
    </xf>
    <xf numFmtId="0" fontId="62" fillId="0" borderId="5" xfId="0" applyFont="1" applyBorder="1"/>
    <xf numFmtId="165" fontId="62" fillId="0" borderId="27" xfId="0" applyNumberFormat="1" applyFont="1" applyBorder="1" applyAlignment="1">
      <alignment horizontal="center"/>
    </xf>
    <xf numFmtId="171" fontId="62" fillId="0" borderId="27" xfId="0" applyNumberFormat="1" applyFont="1" applyBorder="1" applyAlignment="1">
      <alignment horizontal="center"/>
    </xf>
    <xf numFmtId="0" fontId="62" fillId="0" borderId="27" xfId="0" applyFont="1" applyBorder="1"/>
    <xf numFmtId="165" fontId="62" fillId="0" borderId="5" xfId="0" applyNumberFormat="1" applyFont="1" applyBorder="1" applyAlignment="1">
      <alignment horizontal="center"/>
    </xf>
    <xf numFmtId="171" fontId="62" fillId="0" borderId="5" xfId="0" applyNumberFormat="1" applyFont="1" applyBorder="1" applyAlignment="1">
      <alignment horizontal="center"/>
    </xf>
    <xf numFmtId="165" fontId="62" fillId="0" borderId="8" xfId="0" applyNumberFormat="1" applyFont="1" applyBorder="1" applyAlignment="1">
      <alignment horizontal="center"/>
    </xf>
    <xf numFmtId="0" fontId="62" fillId="0" borderId="6" xfId="0" applyFont="1" applyBorder="1"/>
    <xf numFmtId="4" fontId="62" fillId="0" borderId="6" xfId="0" applyNumberFormat="1" applyFont="1" applyBorder="1" applyAlignment="1">
      <alignment horizontal="center"/>
    </xf>
    <xf numFmtId="4" fontId="62" fillId="0" borderId="5" xfId="0" applyNumberFormat="1" applyFont="1" applyBorder="1" applyAlignment="1">
      <alignment horizontal="center"/>
    </xf>
    <xf numFmtId="4" fontId="62" fillId="0" borderId="8" xfId="0" applyNumberFormat="1" applyFont="1" applyBorder="1" applyAlignment="1">
      <alignment horizontal="center"/>
    </xf>
    <xf numFmtId="0" fontId="0" fillId="0" borderId="0" xfId="0" applyAlignment="1">
      <alignment horizontal="centerContinuous"/>
    </xf>
    <xf numFmtId="0" fontId="62" fillId="0" borderId="7" xfId="0" applyFont="1" applyBorder="1"/>
    <xf numFmtId="4" fontId="62" fillId="0" borderId="27" xfId="0" applyNumberFormat="1" applyFont="1" applyBorder="1" applyAlignment="1">
      <alignment horizontal="center"/>
    </xf>
    <xf numFmtId="4" fontId="62" fillId="0" borderId="42" xfId="0" applyNumberFormat="1" applyFont="1" applyBorder="1" applyAlignment="1">
      <alignment horizontal="center"/>
    </xf>
    <xf numFmtId="0" fontId="65" fillId="0" borderId="0" xfId="0" applyFont="1" applyAlignment="1">
      <alignment horizontal="centerContinuous"/>
    </xf>
    <xf numFmtId="0" fontId="64" fillId="0" borderId="0" xfId="0" applyFont="1"/>
    <xf numFmtId="0" fontId="4" fillId="0" borderId="0" xfId="0" applyFont="1" applyFill="1"/>
    <xf numFmtId="10" fontId="3" fillId="0" borderId="0" xfId="1" applyNumberFormat="1"/>
    <xf numFmtId="0" fontId="0" fillId="0" borderId="27" xfId="0" applyBorder="1" applyAlignment="1">
      <alignment horizontal="left" indent="2"/>
    </xf>
    <xf numFmtId="0" fontId="0" fillId="0" borderId="5" xfId="0" applyBorder="1" applyAlignment="1">
      <alignment horizontal="left" indent="2"/>
    </xf>
    <xf numFmtId="0" fontId="0" fillId="0" borderId="8" xfId="0" applyBorder="1" applyAlignment="1">
      <alignment horizontal="left" indent="2"/>
    </xf>
    <xf numFmtId="0" fontId="4" fillId="6" borderId="2" xfId="0" applyFont="1" applyFill="1" applyBorder="1" applyAlignment="1">
      <alignment horizontal="centerContinuous" vertical="center"/>
    </xf>
    <xf numFmtId="0" fontId="0" fillId="6" borderId="2" xfId="0" applyFill="1" applyBorder="1" applyAlignment="1">
      <alignment horizontal="centerContinuous" vertical="center"/>
    </xf>
    <xf numFmtId="165" fontId="0" fillId="0" borderId="27" xfId="0" applyNumberFormat="1" applyBorder="1"/>
    <xf numFmtId="165" fontId="0" fillId="0" borderId="5" xfId="0" applyNumberFormat="1" applyBorder="1"/>
    <xf numFmtId="165" fontId="0" fillId="0" borderId="8" xfId="0" applyNumberFormat="1" applyBorder="1"/>
    <xf numFmtId="165" fontId="4" fillId="0" borderId="8" xfId="0" applyNumberFormat="1" applyFont="1" applyBorder="1"/>
    <xf numFmtId="0" fontId="4" fillId="0" borderId="8" xfId="0" applyFont="1" applyBorder="1" applyAlignment="1">
      <alignment horizontal="center"/>
    </xf>
    <xf numFmtId="0" fontId="0" fillId="0" borderId="1" xfId="0" applyBorder="1"/>
    <xf numFmtId="0" fontId="0" fillId="0" borderId="9" xfId="0" applyBorder="1"/>
    <xf numFmtId="0" fontId="0" fillId="0" borderId="3" xfId="0" applyBorder="1"/>
    <xf numFmtId="0" fontId="0" fillId="0" borderId="0" xfId="0" applyFill="1" applyBorder="1" applyAlignment="1">
      <alignment horizontal="left" indent="2"/>
    </xf>
    <xf numFmtId="168" fontId="15" fillId="0" borderId="17" xfId="2" applyNumberFormat="1" applyFont="1" applyFill="1" applyBorder="1"/>
    <xf numFmtId="165" fontId="13" fillId="0" borderId="17" xfId="3" applyNumberFormat="1" applyFont="1" applyFill="1" applyBorder="1"/>
    <xf numFmtId="165" fontId="13" fillId="0" borderId="17" xfId="1" applyNumberFormat="1" applyFont="1" applyFill="1" applyBorder="1"/>
    <xf numFmtId="165" fontId="13" fillId="0" borderId="33" xfId="1" applyNumberFormat="1" applyFont="1" applyFill="1" applyBorder="1"/>
    <xf numFmtId="165" fontId="10" fillId="0" borderId="4" xfId="0" applyNumberFormat="1" applyFont="1" applyFill="1" applyBorder="1"/>
    <xf numFmtId="165" fontId="10" fillId="0" borderId="0" xfId="0" applyNumberFormat="1" applyFont="1" applyFill="1" applyBorder="1"/>
    <xf numFmtId="0" fontId="11" fillId="0" borderId="0" xfId="0" applyFont="1" applyFill="1"/>
    <xf numFmtId="165" fontId="0" fillId="5" borderId="0" xfId="0" applyNumberFormat="1" applyFill="1"/>
    <xf numFmtId="165" fontId="10" fillId="0" borderId="7" xfId="0" applyNumberFormat="1" applyFont="1" applyBorder="1"/>
    <xf numFmtId="170" fontId="48" fillId="0" borderId="4" xfId="0" applyNumberFormat="1" applyFont="1" applyFill="1" applyBorder="1"/>
    <xf numFmtId="0" fontId="6" fillId="0" borderId="4" xfId="0" applyFont="1" applyFill="1" applyBorder="1" applyAlignment="1">
      <alignment horizontal="left" indent="2"/>
    </xf>
    <xf numFmtId="0" fontId="6" fillId="0" borderId="4" xfId="0" applyFont="1" applyFill="1" applyBorder="1" applyAlignment="1">
      <alignment horizontal="left" indent="4"/>
    </xf>
    <xf numFmtId="0" fontId="6" fillId="0" borderId="2" xfId="0" applyFont="1" applyFill="1" applyBorder="1"/>
    <xf numFmtId="0" fontId="6" fillId="0" borderId="5" xfId="0" applyFont="1" applyFill="1" applyBorder="1"/>
    <xf numFmtId="165" fontId="10" fillId="0" borderId="0" xfId="0" applyNumberFormat="1" applyFont="1" applyFill="1"/>
    <xf numFmtId="165" fontId="0" fillId="0" borderId="27" xfId="0" applyNumberFormat="1" applyFill="1" applyBorder="1"/>
    <xf numFmtId="165" fontId="0" fillId="0" borderId="5" xfId="0" applyNumberFormat="1" applyFill="1" applyBorder="1"/>
    <xf numFmtId="165" fontId="0" fillId="0" borderId="8" xfId="0" applyNumberFormat="1" applyFill="1" applyBorder="1"/>
    <xf numFmtId="0" fontId="62" fillId="0" borderId="0" xfId="0" applyFont="1"/>
    <xf numFmtId="0" fontId="66" fillId="0" borderId="0" xfId="0" applyFont="1"/>
    <xf numFmtId="0" fontId="62" fillId="5" borderId="0" xfId="0" applyFont="1" applyFill="1"/>
    <xf numFmtId="15" fontId="62" fillId="0" borderId="4" xfId="0" applyNumberFormat="1" applyFont="1" applyBorder="1" applyAlignment="1">
      <alignment horizontal="center"/>
    </xf>
    <xf numFmtId="0" fontId="62" fillId="0" borderId="12" xfId="0" applyFont="1" applyBorder="1"/>
    <xf numFmtId="0" fontId="62" fillId="9" borderId="2" xfId="0" applyFont="1" applyFill="1" applyBorder="1"/>
    <xf numFmtId="165" fontId="63" fillId="9" borderId="2" xfId="0" applyNumberFormat="1" applyFont="1" applyFill="1" applyBorder="1" applyAlignment="1">
      <alignment vertical="center"/>
    </xf>
    <xf numFmtId="4" fontId="63" fillId="9" borderId="2" xfId="0" applyNumberFormat="1" applyFont="1" applyFill="1" applyBorder="1" applyAlignment="1">
      <alignment horizontal="center" vertical="center"/>
    </xf>
    <xf numFmtId="0" fontId="64" fillId="9" borderId="2" xfId="0" applyFont="1" applyFill="1" applyBorder="1" applyAlignment="1">
      <alignment horizontal="center" vertical="center" wrapText="1"/>
    </xf>
    <xf numFmtId="15" fontId="62" fillId="0" borderId="46" xfId="0" applyNumberFormat="1" applyFont="1" applyBorder="1" applyAlignment="1">
      <alignment horizontal="center"/>
    </xf>
    <xf numFmtId="15" fontId="62" fillId="0" borderId="27" xfId="0" applyNumberFormat="1" applyFont="1" applyBorder="1" applyAlignment="1">
      <alignment horizontal="center"/>
    </xf>
    <xf numFmtId="165" fontId="62" fillId="0" borderId="27" xfId="0" applyNumberFormat="1" applyFont="1" applyBorder="1"/>
    <xf numFmtId="15" fontId="62" fillId="0" borderId="5" xfId="0" applyNumberFormat="1" applyFont="1" applyBorder="1" applyAlignment="1">
      <alignment horizontal="center"/>
    </xf>
    <xf numFmtId="165" fontId="62" fillId="0" borderId="5" xfId="0" applyNumberFormat="1" applyFont="1" applyBorder="1"/>
    <xf numFmtId="10" fontId="62" fillId="0" borderId="27" xfId="0" applyNumberFormat="1" applyFont="1" applyBorder="1" applyAlignment="1">
      <alignment horizontal="center"/>
    </xf>
    <xf numFmtId="10" fontId="62" fillId="0" borderId="5" xfId="0" applyNumberFormat="1" applyFont="1" applyBorder="1" applyAlignment="1">
      <alignment horizontal="center"/>
    </xf>
    <xf numFmtId="15" fontId="62" fillId="0" borderId="8" xfId="0" applyNumberFormat="1" applyFont="1" applyBorder="1" applyAlignment="1">
      <alignment horizontal="center"/>
    </xf>
    <xf numFmtId="165" fontId="62" fillId="0" borderId="8" xfId="0" applyNumberFormat="1" applyFont="1" applyBorder="1"/>
    <xf numFmtId="171" fontId="62" fillId="0" borderId="8" xfId="0" applyNumberFormat="1" applyFont="1" applyBorder="1" applyAlignment="1">
      <alignment horizontal="center"/>
    </xf>
    <xf numFmtId="10" fontId="62" fillId="0" borderId="8" xfId="0" applyNumberFormat="1" applyFont="1" applyBorder="1" applyAlignment="1">
      <alignment horizontal="center"/>
    </xf>
    <xf numFmtId="0" fontId="62" fillId="0" borderId="0" xfId="0" applyFont="1" applyFill="1"/>
    <xf numFmtId="0" fontId="62" fillId="0" borderId="42" xfId="0" applyFont="1" applyBorder="1"/>
    <xf numFmtId="0" fontId="62" fillId="9" borderId="3" xfId="0" applyFont="1" applyFill="1" applyBorder="1"/>
    <xf numFmtId="0" fontId="63" fillId="9" borderId="1" xfId="0" applyFont="1" applyFill="1" applyBorder="1" applyAlignment="1">
      <alignment horizontal="center" vertical="center" wrapText="1"/>
    </xf>
    <xf numFmtId="0" fontId="62" fillId="0" borderId="42" xfId="0" applyFont="1" applyBorder="1" applyAlignment="1">
      <alignment horizontal="center"/>
    </xf>
    <xf numFmtId="0" fontId="67" fillId="0" borderId="0" xfId="0" applyFont="1"/>
    <xf numFmtId="165" fontId="70" fillId="0" borderId="6" xfId="2" applyNumberFormat="1" applyFont="1" applyFill="1" applyBorder="1" applyAlignment="1"/>
    <xf numFmtId="0" fontId="24" fillId="0" borderId="67" xfId="2" applyFont="1" applyFill="1" applyBorder="1" applyAlignment="1">
      <alignment horizontal="left" indent="3"/>
    </xf>
    <xf numFmtId="165" fontId="24" fillId="0" borderId="39" xfId="5" applyNumberFormat="1" applyFont="1" applyFill="1" applyBorder="1" applyAlignment="1">
      <alignment horizontal="right"/>
    </xf>
    <xf numFmtId="170" fontId="6" fillId="19" borderId="0" xfId="0" applyNumberFormat="1" applyFont="1" applyFill="1" applyBorder="1"/>
    <xf numFmtId="170" fontId="6" fillId="19" borderId="6" xfId="0" applyNumberFormat="1" applyFont="1" applyFill="1" applyBorder="1"/>
    <xf numFmtId="0" fontId="0" fillId="19" borderId="0" xfId="0" applyFill="1"/>
    <xf numFmtId="170" fontId="6" fillId="19" borderId="4" xfId="0" applyNumberFormat="1" applyFont="1" applyFill="1" applyBorder="1"/>
    <xf numFmtId="0" fontId="6" fillId="0" borderId="0" xfId="0" applyFont="1" applyAlignment="1">
      <alignment horizontal="justify" vertical="center" wrapText="1"/>
    </xf>
    <xf numFmtId="0" fontId="68" fillId="0" borderId="0" xfId="0" applyFont="1" applyAlignment="1">
      <alignment horizontal="left" indent="3"/>
    </xf>
    <xf numFmtId="0" fontId="9" fillId="0" borderId="0" xfId="0" applyFont="1" applyFill="1" applyAlignment="1">
      <alignment horizontal="left" indent="4"/>
    </xf>
    <xf numFmtId="0" fontId="0" fillId="18" borderId="0" xfId="0" applyFill="1"/>
    <xf numFmtId="0" fontId="0" fillId="20" borderId="0" xfId="0" applyFill="1"/>
    <xf numFmtId="0" fontId="0" fillId="21" borderId="0" xfId="0" applyFill="1"/>
    <xf numFmtId="0" fontId="21" fillId="9" borderId="33" xfId="2" applyFont="1" applyFill="1" applyBorder="1" applyAlignment="1">
      <alignment horizontal="center" vertical="center" wrapText="1"/>
    </xf>
    <xf numFmtId="165" fontId="24" fillId="0" borderId="33" xfId="5" applyNumberFormat="1" applyFont="1" applyFill="1" applyBorder="1" applyAlignment="1">
      <alignment horizontal="right"/>
    </xf>
    <xf numFmtId="165" fontId="21" fillId="9" borderId="60" xfId="5" applyNumberFormat="1" applyFont="1" applyFill="1" applyBorder="1"/>
    <xf numFmtId="165" fontId="24" fillId="0" borderId="17" xfId="5" applyNumberFormat="1" applyFont="1" applyFill="1" applyBorder="1" applyAlignment="1">
      <alignment horizontal="right"/>
    </xf>
    <xf numFmtId="165" fontId="21" fillId="9" borderId="33" xfId="5" applyNumberFormat="1" applyFont="1" applyFill="1" applyBorder="1" applyAlignment="1">
      <alignment horizontal="right"/>
    </xf>
    <xf numFmtId="165" fontId="24" fillId="0" borderId="41" xfId="5" applyNumberFormat="1" applyFont="1" applyFill="1" applyBorder="1" applyAlignment="1">
      <alignment horizontal="right"/>
    </xf>
    <xf numFmtId="165" fontId="21" fillId="9" borderId="2" xfId="5" applyNumberFormat="1" applyFont="1" applyFill="1" applyBorder="1" applyAlignment="1">
      <alignment horizontal="center"/>
    </xf>
    <xf numFmtId="165" fontId="21" fillId="9" borderId="1" xfId="5" applyNumberFormat="1" applyFont="1" applyFill="1" applyBorder="1" applyAlignment="1"/>
    <xf numFmtId="0" fontId="9" fillId="9" borderId="35" xfId="0" applyFont="1" applyFill="1" applyBorder="1" applyAlignment="1">
      <alignment horizontal="center" vertical="center" wrapText="1"/>
    </xf>
    <xf numFmtId="165" fontId="9" fillId="0" borderId="4" xfId="0" applyNumberFormat="1" applyFont="1" applyBorder="1"/>
    <xf numFmtId="165" fontId="8" fillId="0" borderId="4" xfId="0" applyNumberFormat="1" applyFont="1" applyBorder="1"/>
    <xf numFmtId="165" fontId="9" fillId="0" borderId="10" xfId="0" applyNumberFormat="1" applyFont="1" applyBorder="1"/>
    <xf numFmtId="165" fontId="9" fillId="0" borderId="37" xfId="0" applyNumberFormat="1" applyFont="1" applyBorder="1"/>
    <xf numFmtId="165" fontId="9" fillId="0" borderId="49" xfId="0" applyNumberFormat="1" applyFont="1" applyBorder="1"/>
    <xf numFmtId="165" fontId="8" fillId="0" borderId="10" xfId="0" applyNumberFormat="1" applyFont="1" applyBorder="1"/>
    <xf numFmtId="0" fontId="6" fillId="0" borderId="0" xfId="0" applyFont="1" applyAlignment="1">
      <alignment horizontal="justify" vertical="center" wrapText="1"/>
    </xf>
    <xf numFmtId="164" fontId="0" fillId="0" borderId="0" xfId="0" applyNumberFormat="1" applyFill="1"/>
    <xf numFmtId="172" fontId="0" fillId="5" borderId="0" xfId="0" applyNumberFormat="1" applyFill="1"/>
    <xf numFmtId="165" fontId="4" fillId="5" borderId="0" xfId="0" applyNumberFormat="1" applyFont="1" applyFill="1"/>
    <xf numFmtId="170" fontId="0" fillId="0" borderId="0" xfId="0" applyNumberFormat="1" applyFill="1"/>
    <xf numFmtId="165" fontId="3" fillId="5" borderId="0" xfId="1" applyNumberFormat="1" applyFill="1"/>
    <xf numFmtId="49" fontId="2" fillId="0" borderId="0" xfId="2" applyNumberFormat="1" applyFont="1" applyFill="1" applyBorder="1" applyAlignment="1">
      <alignment horizontal="left" vertical="center"/>
    </xf>
    <xf numFmtId="174" fontId="62" fillId="0" borderId="8" xfId="0" applyNumberFormat="1" applyFont="1" applyBorder="1" applyAlignment="1">
      <alignment horizontal="center"/>
    </xf>
    <xf numFmtId="0" fontId="62" fillId="0" borderId="6" xfId="0" applyFont="1" applyBorder="1" applyAlignment="1">
      <alignment horizontal="center"/>
    </xf>
    <xf numFmtId="0" fontId="62" fillId="0" borderId="12" xfId="0" applyFont="1" applyFill="1" applyBorder="1" applyAlignment="1">
      <alignment horizontal="center"/>
    </xf>
    <xf numFmtId="0" fontId="10" fillId="0" borderId="11" xfId="0" applyFont="1" applyBorder="1"/>
    <xf numFmtId="165" fontId="10" fillId="0" borderId="11" xfId="0" applyNumberFormat="1" applyFont="1" applyBorder="1"/>
    <xf numFmtId="0" fontId="10" fillId="0" borderId="9" xfId="0" applyFont="1" applyBorder="1" applyAlignment="1">
      <alignment horizontal="left" indent="1"/>
    </xf>
    <xf numFmtId="0" fontId="48" fillId="0" borderId="7" xfId="0" applyFont="1" applyBorder="1" applyAlignment="1">
      <alignment horizontal="justify" vertical="center"/>
    </xf>
    <xf numFmtId="0" fontId="6" fillId="0" borderId="0" xfId="0" applyFont="1" applyAlignment="1">
      <alignment horizontal="justify" vertical="justify" wrapText="1"/>
    </xf>
    <xf numFmtId="0" fontId="11" fillId="0" borderId="0" xfId="0" applyFont="1" applyBorder="1" applyAlignment="1">
      <alignment horizontal="justify" vertical="center"/>
    </xf>
    <xf numFmtId="0" fontId="11" fillId="0" borderId="7" xfId="0" applyFont="1" applyBorder="1" applyAlignment="1">
      <alignment horizontal="justify" vertical="center" wrapText="1"/>
    </xf>
    <xf numFmtId="0" fontId="11" fillId="0" borderId="0" xfId="0" applyFont="1" applyAlignment="1">
      <alignment horizontal="justify" vertical="center" wrapText="1"/>
    </xf>
    <xf numFmtId="0" fontId="11" fillId="0" borderId="7" xfId="0" applyFont="1" applyBorder="1" applyAlignment="1">
      <alignment horizontal="justify" vertical="center"/>
    </xf>
    <xf numFmtId="0" fontId="11" fillId="0" borderId="0" xfId="0" applyFont="1" applyAlignment="1">
      <alignment horizontal="justify" vertical="center"/>
    </xf>
    <xf numFmtId="0" fontId="11" fillId="0" borderId="0" xfId="0" applyFont="1" applyFill="1" applyAlignment="1">
      <alignment horizontal="justify" vertical="center"/>
    </xf>
    <xf numFmtId="0" fontId="0" fillId="0" borderId="0" xfId="0" applyFont="1" applyAlignment="1">
      <alignment horizontal="justify" vertical="center" wrapText="1"/>
    </xf>
    <xf numFmtId="49" fontId="1" fillId="7" borderId="31" xfId="2" applyNumberFormat="1" applyFont="1" applyFill="1" applyBorder="1" applyAlignment="1">
      <alignment horizontal="justify" vertical="center"/>
    </xf>
    <xf numFmtId="49" fontId="19" fillId="7" borderId="31" xfId="2" applyNumberFormat="1" applyFont="1" applyFill="1" applyBorder="1" applyAlignment="1">
      <alignment horizontal="justify" vertical="center"/>
    </xf>
    <xf numFmtId="0" fontId="14" fillId="0" borderId="0" xfId="1" applyFont="1" applyAlignment="1">
      <alignment horizontal="center" readingOrder="1"/>
    </xf>
    <xf numFmtId="0" fontId="17" fillId="0" borderId="0" xfId="1" applyFont="1" applyAlignment="1">
      <alignment horizontal="center" readingOrder="1"/>
    </xf>
    <xf numFmtId="0" fontId="18" fillId="6" borderId="21" xfId="1" applyFont="1" applyFill="1" applyBorder="1" applyAlignment="1">
      <alignment horizontal="center" vertical="center"/>
    </xf>
    <xf numFmtId="0" fontId="18" fillId="6" borderId="24" xfId="1" applyFont="1" applyFill="1" applyBorder="1" applyAlignment="1">
      <alignment horizontal="center" vertical="center"/>
    </xf>
    <xf numFmtId="166" fontId="18" fillId="6" borderId="14" xfId="2" applyNumberFormat="1" applyFont="1" applyFill="1" applyBorder="1" applyAlignment="1">
      <alignment horizontal="center" vertical="center"/>
    </xf>
    <xf numFmtId="0" fontId="18" fillId="6" borderId="22" xfId="2" applyFont="1" applyFill="1" applyBorder="1" applyAlignment="1">
      <alignment horizontal="center" vertical="center" wrapText="1"/>
    </xf>
    <xf numFmtId="0" fontId="18" fillId="6" borderId="8" xfId="2" applyFont="1" applyFill="1" applyBorder="1" applyAlignment="1">
      <alignment horizontal="center" vertical="center" wrapText="1"/>
    </xf>
    <xf numFmtId="0" fontId="18" fillId="6" borderId="23" xfId="2" applyFont="1" applyFill="1" applyBorder="1" applyAlignment="1">
      <alignment horizontal="center" vertical="center" wrapText="1"/>
    </xf>
    <xf numFmtId="0" fontId="18" fillId="6" borderId="25" xfId="2" applyFont="1" applyFill="1" applyBorder="1" applyAlignment="1">
      <alignment horizontal="center" vertical="center" wrapText="1"/>
    </xf>
    <xf numFmtId="49" fontId="29" fillId="0" borderId="0" xfId="2" applyNumberFormat="1" applyFont="1" applyFill="1" applyBorder="1" applyAlignment="1">
      <alignment horizontal="justify" vertical="justify" wrapText="1"/>
    </xf>
    <xf numFmtId="49" fontId="21" fillId="6" borderId="21" xfId="2" applyNumberFormat="1" applyFont="1" applyFill="1" applyBorder="1" applyAlignment="1">
      <alignment horizontal="center" vertical="center" wrapText="1"/>
    </xf>
    <xf numFmtId="49" fontId="21" fillId="6" borderId="24" xfId="2" applyNumberFormat="1" applyFont="1" applyFill="1" applyBorder="1" applyAlignment="1">
      <alignment horizontal="center" vertical="center" wrapText="1"/>
    </xf>
    <xf numFmtId="166" fontId="22" fillId="6" borderId="14" xfId="2" applyNumberFormat="1" applyFont="1" applyFill="1" applyBorder="1" applyAlignment="1">
      <alignment horizontal="center"/>
    </xf>
    <xf numFmtId="0" fontId="21" fillId="6" borderId="22" xfId="2" applyFont="1" applyFill="1" applyBorder="1" applyAlignment="1">
      <alignment horizontal="center" vertical="center" wrapText="1"/>
    </xf>
    <xf numFmtId="0" fontId="21" fillId="6" borderId="8" xfId="2" applyFont="1" applyFill="1" applyBorder="1" applyAlignment="1">
      <alignment horizontal="center" vertical="center" wrapText="1"/>
    </xf>
    <xf numFmtId="0" fontId="21" fillId="6" borderId="23" xfId="2" applyFont="1" applyFill="1" applyBorder="1" applyAlignment="1">
      <alignment horizontal="center" vertical="center" wrapText="1"/>
    </xf>
    <xf numFmtId="0" fontId="21" fillId="6" borderId="25" xfId="2" applyFont="1" applyFill="1" applyBorder="1" applyAlignment="1">
      <alignment horizontal="center" vertical="center" wrapText="1"/>
    </xf>
    <xf numFmtId="49" fontId="1" fillId="0" borderId="31" xfId="2" applyNumberFormat="1" applyFont="1" applyFill="1" applyBorder="1" applyAlignment="1">
      <alignment horizontal="justify" vertical="justify" wrapText="1"/>
    </xf>
    <xf numFmtId="49" fontId="19" fillId="0" borderId="31" xfId="2" applyNumberFormat="1" applyFont="1" applyFill="1" applyBorder="1" applyAlignment="1">
      <alignment horizontal="justify" vertical="justify" wrapText="1"/>
    </xf>
    <xf numFmtId="0" fontId="30" fillId="0" borderId="0" xfId="2" applyFont="1" applyAlignment="1">
      <alignment horizontal="center"/>
    </xf>
    <xf numFmtId="0" fontId="31" fillId="0" borderId="0" xfId="2" applyFont="1" applyAlignment="1">
      <alignment horizontal="center"/>
    </xf>
    <xf numFmtId="0" fontId="31" fillId="0" borderId="38" xfId="2" applyFont="1" applyBorder="1" applyAlignment="1">
      <alignment horizontal="center"/>
    </xf>
    <xf numFmtId="166" fontId="18" fillId="6" borderId="14" xfId="2" applyNumberFormat="1" applyFont="1" applyFill="1" applyBorder="1" applyAlignment="1">
      <alignment horizontal="center"/>
    </xf>
    <xf numFmtId="0" fontId="18" fillId="6" borderId="22" xfId="2" applyFont="1" applyFill="1" applyBorder="1" applyAlignment="1">
      <alignment horizontal="center" wrapText="1"/>
    </xf>
    <xf numFmtId="0" fontId="18" fillId="6" borderId="8" xfId="2" applyFont="1" applyFill="1" applyBorder="1" applyAlignment="1">
      <alignment horizontal="center" wrapText="1"/>
    </xf>
    <xf numFmtId="0" fontId="18" fillId="6" borderId="23" xfId="2" applyFont="1" applyFill="1" applyBorder="1" applyAlignment="1">
      <alignment horizontal="center" wrapText="1"/>
    </xf>
    <xf numFmtId="0" fontId="18" fillId="6" borderId="25" xfId="2" applyFont="1" applyFill="1" applyBorder="1" applyAlignment="1">
      <alignment horizontal="center" wrapText="1"/>
    </xf>
    <xf numFmtId="0" fontId="6" fillId="3" borderId="27" xfId="0" applyFont="1" applyFill="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10" fillId="3" borderId="1" xfId="0" applyFont="1" applyFill="1" applyBorder="1" applyAlignment="1">
      <alignment horizontal="center"/>
    </xf>
    <xf numFmtId="0" fontId="10" fillId="3" borderId="3" xfId="0" applyFont="1" applyFill="1" applyBorder="1" applyAlignment="1">
      <alignment horizontal="center"/>
    </xf>
    <xf numFmtId="0" fontId="10" fillId="3" borderId="2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9" borderId="3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36" xfId="0" applyFont="1" applyFill="1" applyBorder="1" applyAlignment="1">
      <alignment horizontal="center"/>
    </xf>
    <xf numFmtId="0" fontId="10" fillId="0" borderId="61" xfId="0" applyFont="1" applyBorder="1" applyAlignment="1">
      <alignment horizontal="center"/>
    </xf>
    <xf numFmtId="0" fontId="21" fillId="9" borderId="35" xfId="2" applyFont="1" applyFill="1" applyBorder="1" applyAlignment="1">
      <alignment horizontal="center" vertical="center"/>
    </xf>
    <xf numFmtId="0" fontId="21" fillId="9" borderId="36" xfId="2" applyFont="1" applyFill="1" applyBorder="1" applyAlignment="1">
      <alignment horizontal="center" vertical="center"/>
    </xf>
    <xf numFmtId="0" fontId="21" fillId="9" borderId="15" xfId="2" applyFont="1" applyFill="1" applyBorder="1" applyAlignment="1">
      <alignment horizontal="center" vertical="center"/>
    </xf>
    <xf numFmtId="165" fontId="21" fillId="9" borderId="1" xfId="5" applyNumberFormat="1" applyFont="1" applyFill="1" applyBorder="1" applyAlignment="1">
      <alignment horizontal="center"/>
    </xf>
    <xf numFmtId="165" fontId="21" fillId="9" borderId="3" xfId="5" applyNumberFormat="1" applyFont="1" applyFill="1" applyBorder="1" applyAlignment="1">
      <alignment horizontal="center"/>
    </xf>
    <xf numFmtId="165" fontId="21" fillId="9" borderId="60" xfId="5" applyNumberFormat="1" applyFont="1" applyFill="1" applyBorder="1" applyAlignment="1">
      <alignment horizontal="center"/>
    </xf>
    <xf numFmtId="0" fontId="21" fillId="9" borderId="48" xfId="2" applyFont="1" applyFill="1" applyBorder="1" applyAlignment="1">
      <alignment horizontal="center"/>
    </xf>
    <xf numFmtId="0" fontId="21" fillId="9" borderId="58" xfId="2" applyFont="1" applyFill="1" applyBorder="1" applyAlignment="1">
      <alignment horizontal="center"/>
    </xf>
    <xf numFmtId="0" fontId="21" fillId="9" borderId="57" xfId="2" applyFont="1" applyFill="1" applyBorder="1" applyAlignment="1">
      <alignment horizontal="center" vertical="center"/>
    </xf>
    <xf numFmtId="0" fontId="31" fillId="7" borderId="0" xfId="2" applyFont="1" applyFill="1" applyAlignment="1">
      <alignment horizontal="center"/>
    </xf>
    <xf numFmtId="0" fontId="31" fillId="7" borderId="0" xfId="2" applyFont="1" applyFill="1" applyBorder="1" applyAlignment="1">
      <alignment horizontal="center"/>
    </xf>
    <xf numFmtId="0" fontId="21" fillId="9" borderId="21" xfId="2" applyFont="1" applyFill="1" applyBorder="1" applyAlignment="1">
      <alignment horizontal="center"/>
    </xf>
    <xf numFmtId="0" fontId="21" fillId="9" borderId="24" xfId="2" applyFont="1" applyFill="1" applyBorder="1" applyAlignment="1">
      <alignment horizontal="center"/>
    </xf>
    <xf numFmtId="0" fontId="21" fillId="9" borderId="22" xfId="2" applyFont="1" applyFill="1" applyBorder="1" applyAlignment="1">
      <alignment horizontal="center" vertical="center"/>
    </xf>
    <xf numFmtId="0" fontId="21" fillId="9" borderId="8" xfId="2" applyFont="1" applyFill="1" applyBorder="1" applyAlignment="1">
      <alignment horizontal="center" vertical="center"/>
    </xf>
    <xf numFmtId="0" fontId="21" fillId="9" borderId="23" xfId="2" applyFont="1" applyFill="1" applyBorder="1" applyAlignment="1">
      <alignment horizontal="center" vertical="center"/>
    </xf>
    <xf numFmtId="0" fontId="21" fillId="9" borderId="25" xfId="2" applyFont="1" applyFill="1" applyBorder="1" applyAlignment="1">
      <alignment horizontal="center" vertical="center"/>
    </xf>
    <xf numFmtId="0" fontId="69" fillId="0" borderId="0" xfId="0" applyFont="1" applyAlignment="1">
      <alignment horizontal="justify" vertical="center"/>
    </xf>
    <xf numFmtId="0" fontId="67" fillId="9" borderId="2" xfId="0" applyFont="1" applyFill="1" applyBorder="1" applyAlignment="1">
      <alignment horizontal="center" vertical="center" wrapText="1"/>
    </xf>
    <xf numFmtId="0" fontId="64" fillId="9" borderId="2" xfId="0" applyFont="1" applyFill="1" applyBorder="1" applyAlignment="1">
      <alignment horizontal="center" vertical="center" wrapText="1"/>
    </xf>
    <xf numFmtId="0" fontId="69" fillId="0" borderId="7" xfId="0" applyFont="1" applyBorder="1" applyAlignment="1">
      <alignment horizontal="justify" vertical="center"/>
    </xf>
    <xf numFmtId="0" fontId="64" fillId="9" borderId="2" xfId="0" applyFont="1" applyFill="1" applyBorder="1" applyAlignment="1">
      <alignment horizontal="center" vertical="center"/>
    </xf>
  </cellXfs>
  <cellStyles count="8">
    <cellStyle name="Millares" xfId="7" builtinId="3"/>
    <cellStyle name="Millares 10" xfId="5"/>
    <cellStyle name="Millares 30 2" xfId="3"/>
    <cellStyle name="Normal" xfId="0" builtinId="0"/>
    <cellStyle name="Normal 14" xfId="2"/>
    <cellStyle name="Normal 24" xfId="1"/>
    <cellStyle name="Normal 7" xfId="6"/>
    <cellStyle name="Porcentaje" xfId="4" builtinId="5"/>
  </cellStyles>
  <dxfs count="0"/>
  <tableStyles count="0" defaultTableStyle="TableStyleMedium2" defaultPivotStyle="PivotStyleLight16"/>
  <colors>
    <mruColors>
      <color rgb="FF92CDDC"/>
      <color rgb="FF413250"/>
      <color rgb="FF642823"/>
      <color rgb="FF8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4.xml"/><Relationship Id="rId21" Type="http://schemas.openxmlformats.org/officeDocument/2006/relationships/worksheet" Target="worksheets/sheet19.xml"/><Relationship Id="rId42" Type="http://schemas.openxmlformats.org/officeDocument/2006/relationships/worksheet" Target="worksheets/sheet36.xml"/><Relationship Id="rId47" Type="http://schemas.openxmlformats.org/officeDocument/2006/relationships/worksheet" Target="worksheets/sheet41.xml"/><Relationship Id="rId63" Type="http://schemas.openxmlformats.org/officeDocument/2006/relationships/worksheet" Target="worksheets/sheet56.xml"/><Relationship Id="rId68" Type="http://schemas.openxmlformats.org/officeDocument/2006/relationships/worksheet" Target="worksheets/sheet60.xml"/><Relationship Id="rId16" Type="http://schemas.openxmlformats.org/officeDocument/2006/relationships/worksheet" Target="worksheets/sheet14.xml"/><Relationship Id="rId11" Type="http://schemas.openxmlformats.org/officeDocument/2006/relationships/worksheet" Target="worksheets/sheet9.xml"/><Relationship Id="rId32" Type="http://schemas.openxmlformats.org/officeDocument/2006/relationships/worksheet" Target="worksheets/sheet30.xml"/><Relationship Id="rId37" Type="http://schemas.openxmlformats.org/officeDocument/2006/relationships/chartsheet" Target="chartsheets/sheet4.xml"/><Relationship Id="rId53" Type="http://schemas.openxmlformats.org/officeDocument/2006/relationships/worksheet" Target="worksheets/sheet47.xml"/><Relationship Id="rId58" Type="http://schemas.openxmlformats.org/officeDocument/2006/relationships/worksheet" Target="worksheets/sheet51.xml"/><Relationship Id="rId74" Type="http://schemas.openxmlformats.org/officeDocument/2006/relationships/worksheet" Target="worksheets/sheet65.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54.xml"/><Relationship Id="rId82" Type="http://schemas.openxmlformats.org/officeDocument/2006/relationships/calcChain" Target="calcChain.xml"/><Relationship Id="rId19" Type="http://schemas.openxmlformats.org/officeDocument/2006/relationships/worksheet" Target="worksheets/sheet17.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5.xml"/><Relationship Id="rId30" Type="http://schemas.openxmlformats.org/officeDocument/2006/relationships/worksheet" Target="worksheets/sheet28.xml"/><Relationship Id="rId35" Type="http://schemas.openxmlformats.org/officeDocument/2006/relationships/chartsheet" Target="chartsheets/sheet3.xml"/><Relationship Id="rId43" Type="http://schemas.openxmlformats.org/officeDocument/2006/relationships/worksheet" Target="worksheets/sheet37.xml"/><Relationship Id="rId48" Type="http://schemas.openxmlformats.org/officeDocument/2006/relationships/worksheet" Target="worksheets/sheet42.xml"/><Relationship Id="rId56" Type="http://schemas.openxmlformats.org/officeDocument/2006/relationships/worksheet" Target="worksheets/sheet50.xml"/><Relationship Id="rId64" Type="http://schemas.openxmlformats.org/officeDocument/2006/relationships/worksheet" Target="worksheets/sheet57.xml"/><Relationship Id="rId69" Type="http://schemas.openxmlformats.org/officeDocument/2006/relationships/worksheet" Target="worksheets/sheet61.xml"/><Relationship Id="rId77" Type="http://schemas.openxmlformats.org/officeDocument/2006/relationships/worksheet" Target="worksheets/sheet68.xml"/><Relationship Id="rId8" Type="http://schemas.openxmlformats.org/officeDocument/2006/relationships/chartsheet" Target="chartsheets/sheet2.xml"/><Relationship Id="rId51" Type="http://schemas.openxmlformats.org/officeDocument/2006/relationships/worksheet" Target="worksheets/sheet45.xml"/><Relationship Id="rId72" Type="http://schemas.openxmlformats.org/officeDocument/2006/relationships/worksheet" Target="worksheets/sheet64.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3.xml"/><Relationship Id="rId33" Type="http://schemas.openxmlformats.org/officeDocument/2006/relationships/worksheet" Target="worksheets/sheet31.xml"/><Relationship Id="rId38" Type="http://schemas.openxmlformats.org/officeDocument/2006/relationships/worksheet" Target="worksheets/sheet34.xml"/><Relationship Id="rId46" Type="http://schemas.openxmlformats.org/officeDocument/2006/relationships/worksheet" Target="worksheets/sheet40.xml"/><Relationship Id="rId59" Type="http://schemas.openxmlformats.org/officeDocument/2006/relationships/worksheet" Target="worksheets/sheet52.xml"/><Relationship Id="rId67" Type="http://schemas.openxmlformats.org/officeDocument/2006/relationships/worksheet" Target="worksheets/sheet59.xml"/><Relationship Id="rId20" Type="http://schemas.openxmlformats.org/officeDocument/2006/relationships/worksheet" Target="worksheets/sheet18.xml"/><Relationship Id="rId41" Type="http://schemas.openxmlformats.org/officeDocument/2006/relationships/chartsheet" Target="chartsheets/sheet6.xml"/><Relationship Id="rId54" Type="http://schemas.openxmlformats.org/officeDocument/2006/relationships/worksheet" Target="worksheets/sheet48.xml"/><Relationship Id="rId62" Type="http://schemas.openxmlformats.org/officeDocument/2006/relationships/worksheet" Target="worksheets/sheet55.xml"/><Relationship Id="rId70" Type="http://schemas.openxmlformats.org/officeDocument/2006/relationships/worksheet" Target="worksheets/sheet62.xml"/><Relationship Id="rId75" Type="http://schemas.openxmlformats.org/officeDocument/2006/relationships/worksheet" Target="worksheets/sheet66.xml"/><Relationship Id="rId1" Type="http://schemas.openxmlformats.org/officeDocument/2006/relationships/worksheet" Target="worksheets/sheet1.xml"/><Relationship Id="rId6" Type="http://schemas.openxmlformats.org/officeDocument/2006/relationships/chartsheet" Target="chartsheets/sheet1.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6.xml"/><Relationship Id="rId36" Type="http://schemas.openxmlformats.org/officeDocument/2006/relationships/worksheet" Target="worksheets/sheet33.xml"/><Relationship Id="rId49" Type="http://schemas.openxmlformats.org/officeDocument/2006/relationships/worksheet" Target="worksheets/sheet43.xml"/><Relationship Id="rId57" Type="http://schemas.openxmlformats.org/officeDocument/2006/relationships/chartsheet" Target="chartsheets/sheet7.xml"/><Relationship Id="rId10" Type="http://schemas.openxmlformats.org/officeDocument/2006/relationships/worksheet" Target="worksheets/sheet8.xml"/><Relationship Id="rId31" Type="http://schemas.openxmlformats.org/officeDocument/2006/relationships/worksheet" Target="worksheets/sheet29.xml"/><Relationship Id="rId44" Type="http://schemas.openxmlformats.org/officeDocument/2006/relationships/worksheet" Target="worksheets/sheet38.xml"/><Relationship Id="rId52" Type="http://schemas.openxmlformats.org/officeDocument/2006/relationships/worksheet" Target="worksheets/sheet46.xml"/><Relationship Id="rId60" Type="http://schemas.openxmlformats.org/officeDocument/2006/relationships/worksheet" Target="worksheets/sheet53.xml"/><Relationship Id="rId65" Type="http://schemas.openxmlformats.org/officeDocument/2006/relationships/worksheet" Target="worksheets/sheet58.xml"/><Relationship Id="rId73" Type="http://schemas.openxmlformats.org/officeDocument/2006/relationships/chartsheet" Target="chartsheets/sheet9.xml"/><Relationship Id="rId78" Type="http://schemas.openxmlformats.org/officeDocument/2006/relationships/worksheet" Target="worksheets/sheet69.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39" Type="http://schemas.openxmlformats.org/officeDocument/2006/relationships/chartsheet" Target="chartsheets/sheet5.xml"/><Relationship Id="rId34" Type="http://schemas.openxmlformats.org/officeDocument/2006/relationships/worksheet" Target="worksheets/sheet32.xml"/><Relationship Id="rId50" Type="http://schemas.openxmlformats.org/officeDocument/2006/relationships/worksheet" Target="worksheets/sheet44.xml"/><Relationship Id="rId55" Type="http://schemas.openxmlformats.org/officeDocument/2006/relationships/worksheet" Target="worksheets/sheet49.xml"/><Relationship Id="rId76" Type="http://schemas.openxmlformats.org/officeDocument/2006/relationships/worksheet" Target="worksheets/sheet67.xml"/><Relationship Id="rId7" Type="http://schemas.openxmlformats.org/officeDocument/2006/relationships/worksheet" Target="worksheets/sheet6.xml"/><Relationship Id="rId71" Type="http://schemas.openxmlformats.org/officeDocument/2006/relationships/worksheet" Target="worksheets/sheet63.xml"/><Relationship Id="rId2" Type="http://schemas.openxmlformats.org/officeDocument/2006/relationships/worksheet" Target="worksheets/sheet2.xml"/><Relationship Id="rId29" Type="http://schemas.openxmlformats.org/officeDocument/2006/relationships/worksheet" Target="worksheets/sheet27.xml"/><Relationship Id="rId24" Type="http://schemas.openxmlformats.org/officeDocument/2006/relationships/worksheet" Target="worksheets/sheet22.xml"/><Relationship Id="rId40" Type="http://schemas.openxmlformats.org/officeDocument/2006/relationships/worksheet" Target="worksheets/sheet35.xml"/><Relationship Id="rId45" Type="http://schemas.openxmlformats.org/officeDocument/2006/relationships/worksheet" Target="worksheets/sheet39.xml"/><Relationship Id="rId66"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Déficit del SPNF, 2014 - a junio 2019</a:t>
            </a:r>
          </a:p>
          <a:p>
            <a:pPr>
              <a:defRPr/>
            </a:pPr>
            <a:r>
              <a:rPr lang="es-SV" sz="1200" b="1" i="0" baseline="0">
                <a:solidFill>
                  <a:schemeClr val="tx1"/>
                </a:solidFill>
              </a:rPr>
              <a:t>(En millones de US$ y en % del PIB en eje secundario)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'12 dat'!$B$6</c:f>
              <c:strCache>
                <c:ptCount val="1"/>
                <c:pt idx="0">
                  <c:v>c/pensiones</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dat'!$C$5:$AE$5</c15:sqref>
                  </c15:fullRef>
                </c:ext>
              </c:extLst>
              <c:f>'12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'12 dat'!$C$6:$AE$6</c15:sqref>
                  </c15:fullRef>
                </c:ext>
              </c:extLst>
              <c:f>'12 dat'!$Z$6:$AE$6</c:f>
              <c:numCache>
                <c:formatCode>#,##0.0</c:formatCode>
                <c:ptCount val="6"/>
                <c:pt idx="0">
                  <c:v>-906.97233438700073</c:v>
                </c:pt>
                <c:pt idx="1">
                  <c:v>-851.24991064118126</c:v>
                </c:pt>
                <c:pt idx="2">
                  <c:v>-750.30037916013407</c:v>
                </c:pt>
                <c:pt idx="3">
                  <c:v>-632.24783263600011</c:v>
                </c:pt>
                <c:pt idx="4">
                  <c:v>-694.4445667671705</c:v>
                </c:pt>
                <c:pt idx="5">
                  <c:v>-88.0412399992058</c:v>
                </c:pt>
              </c:numCache>
            </c:numRef>
          </c:val>
          <c:extLst>
            <c:ext xmlns:c16="http://schemas.microsoft.com/office/drawing/2014/chart" uri="{C3380CC4-5D6E-409C-BE32-E72D297353CC}">
              <c16:uniqueId val="{00000000-17F8-4392-87A9-3DC5563401E2}"/>
            </c:ext>
          </c:extLst>
        </c:ser>
        <c:ser>
          <c:idx val="1"/>
          <c:order val="1"/>
          <c:tx>
            <c:strRef>
              <c:f>'12 dat'!$B$7</c:f>
              <c:strCache>
                <c:ptCount val="1"/>
                <c:pt idx="0">
                  <c:v>s/pensiones</c:v>
                </c:pt>
              </c:strCache>
            </c:strRef>
          </c:tx>
          <c:spPr>
            <a:solidFill>
              <a:schemeClr val="accent1"/>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dat'!$C$5:$AE$5</c15:sqref>
                  </c15:fullRef>
                </c:ext>
              </c:extLst>
              <c:f>'12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'12 dat'!$C$7:$AE$7</c15:sqref>
                  </c15:fullRef>
                </c:ext>
              </c:extLst>
              <c:f>'12 dat'!$Z$7:$AE$7</c:f>
              <c:numCache>
                <c:formatCode>#,##0.0</c:formatCode>
                <c:ptCount val="6"/>
                <c:pt idx="0">
                  <c:v>-439.98635747500066</c:v>
                </c:pt>
                <c:pt idx="1">
                  <c:v>-366.0396830111813</c:v>
                </c:pt>
                <c:pt idx="2">
                  <c:v>-230.41603413013399</c:v>
                </c:pt>
                <c:pt idx="3">
                  <c:v>-71.860890326000117</c:v>
                </c:pt>
                <c:pt idx="4">
                  <c:v>-328.44706889717048</c:v>
                </c:pt>
                <c:pt idx="5">
                  <c:v>75.327270260794194</c:v>
                </c:pt>
              </c:numCache>
            </c:numRef>
          </c:val>
          <c:extLst>
            <c:ext xmlns:c16="http://schemas.microsoft.com/office/drawing/2014/chart" uri="{C3380CC4-5D6E-409C-BE32-E72D297353CC}">
              <c16:uniqueId val="{00000001-17F8-4392-87A9-3DC5563401E2}"/>
            </c:ext>
          </c:extLst>
        </c:ser>
        <c:dLbls>
          <c:showLegendKey val="0"/>
          <c:showVal val="0"/>
          <c:showCatName val="0"/>
          <c:showSerName val="0"/>
          <c:showPercent val="0"/>
          <c:showBubbleSize val="0"/>
        </c:dLbls>
        <c:gapWidth val="60"/>
        <c:overlap val="-10"/>
        <c:axId val="526219216"/>
        <c:axId val="526216080"/>
      </c:barChart>
      <c:lineChart>
        <c:grouping val="standard"/>
        <c:varyColors val="0"/>
        <c:ser>
          <c:idx val="2"/>
          <c:order val="2"/>
          <c:tx>
            <c:strRef>
              <c:f>'12 dat'!$B$8</c:f>
              <c:strCache>
                <c:ptCount val="1"/>
                <c:pt idx="0">
                  <c:v>% PIB c/ pensiones</c:v>
                </c:pt>
              </c:strCache>
            </c:strRef>
          </c:tx>
          <c:spPr>
            <a:ln w="28575" cap="rnd">
              <a:solidFill>
                <a:srgbClr val="7030A0"/>
              </a:solidFill>
              <a:round/>
            </a:ln>
            <a:effectLst/>
          </c:spPr>
          <c:marker>
            <c:symbol val="x"/>
            <c:size val="8"/>
            <c:spPr>
              <a:no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dat'!$C$5:$AE$5</c15:sqref>
                  </c15:fullRef>
                </c:ext>
              </c:extLst>
              <c:f>'12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'12 dat'!$C$8:$AE$8</c15:sqref>
                  </c15:fullRef>
                </c:ext>
              </c:extLst>
              <c:f>'12 dat'!$Z$8:$AE$8</c:f>
              <c:numCache>
                <c:formatCode>0.0%</c:formatCode>
                <c:ptCount val="6"/>
                <c:pt idx="0">
                  <c:v>-4.0143118095051389E-2</c:v>
                </c:pt>
                <c:pt idx="1">
                  <c:v>-3.6318849480216145E-2</c:v>
                </c:pt>
                <c:pt idx="2">
                  <c:v>-3.1063052174563007E-2</c:v>
                </c:pt>
                <c:pt idx="3">
                  <c:v>-2.5362989149778345E-2</c:v>
                </c:pt>
                <c:pt idx="4">
                  <c:v>-2.6651040635131008E-2</c:v>
                </c:pt>
                <c:pt idx="5">
                  <c:v>-3.279650731772223E-3</c:v>
                </c:pt>
              </c:numCache>
            </c:numRef>
          </c:val>
          <c:smooth val="0"/>
          <c:extLst>
            <c:ext xmlns:c16="http://schemas.microsoft.com/office/drawing/2014/chart" uri="{C3380CC4-5D6E-409C-BE32-E72D297353CC}">
              <c16:uniqueId val="{00000002-17F8-4392-87A9-3DC5563401E2}"/>
            </c:ext>
          </c:extLst>
        </c:ser>
        <c:ser>
          <c:idx val="3"/>
          <c:order val="3"/>
          <c:tx>
            <c:strRef>
              <c:f>'12 dat'!$B$9</c:f>
              <c:strCache>
                <c:ptCount val="1"/>
                <c:pt idx="0">
                  <c:v>% PIB s/ pensiones</c:v>
                </c:pt>
              </c:strCache>
            </c:strRef>
          </c:tx>
          <c:spPr>
            <a:ln w="28575" cap="rnd">
              <a:solidFill>
                <a:srgbClr val="C00000"/>
              </a:solidFill>
              <a:round/>
            </a:ln>
            <a:effectLst/>
          </c:spPr>
          <c:marker>
            <c:symbol val="diamond"/>
            <c:size val="8"/>
            <c:spPr>
              <a:solidFill>
                <a:srgbClr val="C00000"/>
              </a:solidFill>
              <a:ln w="9525">
                <a:solidFill>
                  <a:srgbClr val="C00000"/>
                </a:solidFill>
              </a:ln>
              <a:effectLst/>
              <a:scene3d>
                <a:camera prst="orthographicFront"/>
                <a:lightRig rig="threePt" dir="t">
                  <a:rot lat="0" lon="0" rev="1200000"/>
                </a:lightRig>
              </a:scene3d>
              <a:sp3d>
                <a:bevelT w="63500" h="25400"/>
              </a:sp3d>
            </c:spPr>
          </c:marker>
          <c:dLbls>
            <c:dLbl>
              <c:idx val="4"/>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F8-4392-87A9-3DC5563401E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s-SV"/>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 dat'!$C$5:$AE$5</c15:sqref>
                  </c15:fullRef>
                </c:ext>
              </c:extLst>
              <c:f>'12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'12 dat'!$C$9:$AE$9</c15:sqref>
                  </c15:fullRef>
                </c:ext>
              </c:extLst>
              <c:f>'12 dat'!$Z$9:$AE$9</c:f>
              <c:numCache>
                <c:formatCode>0.0%</c:formatCode>
                <c:ptCount val="6"/>
                <c:pt idx="0">
                  <c:v>-1.9474049691127596E-2</c:v>
                </c:pt>
                <c:pt idx="1">
                  <c:v>-1.561720005474734E-2</c:v>
                </c:pt>
                <c:pt idx="2">
                  <c:v>-9.5394131321805686E-3</c:v>
                </c:pt>
                <c:pt idx="3">
                  <c:v>-2.8827413674679531E-3</c:v>
                </c:pt>
                <c:pt idx="4">
                  <c:v>-1.2604974678422351E-2</c:v>
                </c:pt>
                <c:pt idx="5">
                  <c:v>2.8060388181203066E-3</c:v>
                </c:pt>
              </c:numCache>
            </c:numRef>
          </c:val>
          <c:smooth val="0"/>
          <c:extLst>
            <c:ext xmlns:c16="http://schemas.microsoft.com/office/drawing/2014/chart" uri="{C3380CC4-5D6E-409C-BE32-E72D297353CC}">
              <c16:uniqueId val="{00000004-17F8-4392-87A9-3DC5563401E2}"/>
            </c:ext>
          </c:extLst>
        </c:ser>
        <c:dLbls>
          <c:showLegendKey val="0"/>
          <c:showVal val="0"/>
          <c:showCatName val="0"/>
          <c:showSerName val="0"/>
          <c:showPercent val="0"/>
          <c:showBubbleSize val="0"/>
        </c:dLbls>
        <c:marker val="1"/>
        <c:smooth val="0"/>
        <c:axId val="530587336"/>
        <c:axId val="530588120"/>
      </c:lineChart>
      <c:catAx>
        <c:axId val="526219216"/>
        <c:scaling>
          <c:orientation val="minMax"/>
        </c:scaling>
        <c:delete val="0"/>
        <c:axPos val="b"/>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26216080"/>
        <c:crosses val="autoZero"/>
        <c:auto val="1"/>
        <c:lblAlgn val="ctr"/>
        <c:lblOffset val="100"/>
        <c:noMultiLvlLbl val="0"/>
      </c:catAx>
      <c:valAx>
        <c:axId val="526216080"/>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26219216"/>
        <c:crosses val="autoZero"/>
        <c:crossBetween val="between"/>
      </c:valAx>
      <c:valAx>
        <c:axId val="530588120"/>
        <c:scaling>
          <c:orientation val="minMax"/>
        </c:scaling>
        <c:delete val="0"/>
        <c:axPos val="r"/>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30587336"/>
        <c:crosses val="max"/>
        <c:crossBetween val="between"/>
      </c:valAx>
      <c:catAx>
        <c:axId val="530587336"/>
        <c:scaling>
          <c:orientation val="minMax"/>
        </c:scaling>
        <c:delete val="1"/>
        <c:axPos val="b"/>
        <c:numFmt formatCode="General" sourceLinked="1"/>
        <c:majorTickMark val="out"/>
        <c:minorTickMark val="none"/>
        <c:tickLblPos val="nextTo"/>
        <c:crossAx val="530588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'60 dat'!$B$6</c:f>
              <c:strCache>
                <c:ptCount val="1"/>
                <c:pt idx="0">
                  <c:v>c/pensiones</c:v>
                </c:pt>
              </c:strCache>
            </c:strRef>
          </c:tx>
          <c:spPr>
            <a:solidFill>
              <a:schemeClr val="accent1"/>
            </a:solidFill>
            <a:ln>
              <a:noFill/>
            </a:ln>
            <a:effectLst/>
          </c:spPr>
          <c:invertIfNegative val="0"/>
          <c:cat>
            <c:numRef>
              <c:f>'60 dat'!$C$5:$AE$5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'60 dat'!$C$6:$AE$6</c:f>
              <c:numCache>
                <c:formatCode>#,##0.0</c:formatCode>
                <c:ptCount val="29"/>
                <c:pt idx="1">
                  <c:v>2657.4</c:v>
                </c:pt>
                <c:pt idx="2">
                  <c:v>2487.8000000000002</c:v>
                </c:pt>
                <c:pt idx="3">
                  <c:v>2550.1999999999998</c:v>
                </c:pt>
                <c:pt idx="4">
                  <c:v>2780.8</c:v>
                </c:pt>
                <c:pt idx="5">
                  <c:v>2962.4</c:v>
                </c:pt>
                <c:pt idx="6">
                  <c:v>3198.1</c:v>
                </c:pt>
                <c:pt idx="7">
                  <c:v>3313.8</c:v>
                </c:pt>
                <c:pt idx="8">
                  <c:v>3248.2</c:v>
                </c:pt>
                <c:pt idx="9">
                  <c:v>3507</c:v>
                </c:pt>
                <c:pt idx="10">
                  <c:v>3834</c:v>
                </c:pt>
                <c:pt idx="11">
                  <c:v>4668.8</c:v>
                </c:pt>
                <c:pt idx="12">
                  <c:v>5544.1</c:v>
                </c:pt>
                <c:pt idx="13">
                  <c:v>6084.9</c:v>
                </c:pt>
                <c:pt idx="14">
                  <c:v>6404.3</c:v>
                </c:pt>
                <c:pt idx="15">
                  <c:v>6756.9</c:v>
                </c:pt>
                <c:pt idx="16">
                  <c:v>7474.9</c:v>
                </c:pt>
                <c:pt idx="17">
                  <c:v>7895.1</c:v>
                </c:pt>
                <c:pt idx="18">
                  <c:v>8769</c:v>
                </c:pt>
                <c:pt idx="19">
                  <c:v>10336.799999999999</c:v>
                </c:pt>
                <c:pt idx="20">
                  <c:v>11023.5</c:v>
                </c:pt>
                <c:pt idx="21">
                  <c:v>11928.8</c:v>
                </c:pt>
                <c:pt idx="22">
                  <c:v>13480.130000000001</c:v>
                </c:pt>
                <c:pt idx="23">
                  <c:v>13767.8</c:v>
                </c:pt>
                <c:pt idx="24">
                  <c:v>14592.6</c:v>
                </c:pt>
                <c:pt idx="25">
                  <c:v>15506.54</c:v>
                </c:pt>
                <c:pt idx="26">
                  <c:v>16322.96</c:v>
                </c:pt>
                <c:pt idx="27">
                  <c:v>17290.782645460004</c:v>
                </c:pt>
                <c:pt idx="28">
                  <c:v>18084.194728559996</c:v>
                </c:pt>
              </c:numCache>
            </c:numRef>
          </c:val>
          <c:extLst>
            <c:ext xmlns:c16="http://schemas.microsoft.com/office/drawing/2014/chart" uri="{C3380CC4-5D6E-409C-BE32-E72D297353CC}">
              <c16:uniqueId val="{00000000-D546-4BF1-9A28-8952B6CE0BDB}"/>
            </c:ext>
          </c:extLst>
        </c:ser>
        <c:ser>
          <c:idx val="1"/>
          <c:order val="1"/>
          <c:tx>
            <c:strRef>
              <c:f>'60 dat'!$B$8</c:f>
              <c:strCache>
                <c:ptCount val="1"/>
                <c:pt idx="0">
                  <c:v>% del PIB c/pensiones</c:v>
                </c:pt>
              </c:strCache>
            </c:strRef>
          </c:tx>
          <c:spPr>
            <a:solidFill>
              <a:schemeClr val="accent2"/>
            </a:solidFill>
            <a:ln>
              <a:noFill/>
            </a:ln>
            <a:effectLst/>
          </c:spPr>
          <c:invertIfNegative val="0"/>
          <c:cat>
            <c:numRef>
              <c:f>'60 dat'!$C$5:$AE$5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'60 dat'!$C$8:$AE$8</c:f>
              <c:numCache>
                <c:formatCode>0.0%</c:formatCode>
                <c:ptCount val="29"/>
                <c:pt idx="1">
                  <c:v>0.50594592124653015</c:v>
                </c:pt>
                <c:pt idx="2">
                  <c:v>0.42794234011077859</c:v>
                </c:pt>
                <c:pt idx="3">
                  <c:v>0.38175103700898311</c:v>
                </c:pt>
                <c:pt idx="4">
                  <c:v>0.36211256637905664</c:v>
                </c:pt>
                <c:pt idx="5">
                  <c:v>0.3320350371835753</c:v>
                </c:pt>
                <c:pt idx="6">
                  <c:v>0.33361046406706213</c:v>
                </c:pt>
                <c:pt idx="7">
                  <c:v>0.32419233181140927</c:v>
                </c:pt>
                <c:pt idx="8">
                  <c:v>0.29700082383394577</c:v>
                </c:pt>
                <c:pt idx="9">
                  <c:v>0.31078853618333596</c:v>
                </c:pt>
                <c:pt idx="10">
                  <c:v>0.32533074019107455</c:v>
                </c:pt>
                <c:pt idx="11">
                  <c:v>0.38011712570618594</c:v>
                </c:pt>
                <c:pt idx="12">
                  <c:v>0.4377777023244282</c:v>
                </c:pt>
                <c:pt idx="13">
                  <c:v>0.45944960279796948</c:v>
                </c:pt>
                <c:pt idx="14">
                  <c:v>0.46662212445928214</c:v>
                </c:pt>
                <c:pt idx="15">
                  <c:v>0.45971560756565516</c:v>
                </c:pt>
                <c:pt idx="16">
                  <c:v>0.46718446189317553</c:v>
                </c:pt>
                <c:pt idx="17">
                  <c:v>0.46409687421928963</c:v>
                </c:pt>
                <c:pt idx="18">
                  <c:v>0.48752174500427814</c:v>
                </c:pt>
                <c:pt idx="19">
                  <c:v>0.58726412682468998</c:v>
                </c:pt>
                <c:pt idx="20">
                  <c:v>0.597547040533567</c:v>
                </c:pt>
                <c:pt idx="21">
                  <c:v>0.58809551276931615</c:v>
                </c:pt>
                <c:pt idx="22">
                  <c:v>0.63032055793118447</c:v>
                </c:pt>
                <c:pt idx="23">
                  <c:v>0.62606634726269339</c:v>
                </c:pt>
                <c:pt idx="24">
                  <c:v>0.64587688389609921</c:v>
                </c:pt>
                <c:pt idx="25">
                  <c:v>0.66159148468485685</c:v>
                </c:pt>
                <c:pt idx="26">
                  <c:v>0.675783955608383</c:v>
                </c:pt>
                <c:pt idx="27">
                  <c:v>0.6936297919750386</c:v>
                </c:pt>
                <c:pt idx="28">
                  <c:v>0.69402603408381791</c:v>
                </c:pt>
              </c:numCache>
            </c:numRef>
          </c:val>
          <c:extLst>
            <c:ext xmlns:c16="http://schemas.microsoft.com/office/drawing/2014/chart" uri="{C3380CC4-5D6E-409C-BE32-E72D297353CC}">
              <c16:uniqueId val="{00000001-D546-4BF1-9A28-8952B6CE0BDB}"/>
            </c:ext>
          </c:extLst>
        </c:ser>
        <c:ser>
          <c:idx val="2"/>
          <c:order val="2"/>
          <c:tx>
            <c:strRef>
              <c:f>'60 dat'!$B$10</c:f>
              <c:strCache>
                <c:ptCount val="1"/>
                <c:pt idx="0">
                  <c:v>PIB</c:v>
                </c:pt>
              </c:strCache>
            </c:strRef>
          </c:tx>
          <c:spPr>
            <a:solidFill>
              <a:schemeClr val="accent3"/>
            </a:solidFill>
            <a:ln>
              <a:noFill/>
            </a:ln>
            <a:effectLst/>
          </c:spPr>
          <c:invertIfNegative val="0"/>
          <c:cat>
            <c:numRef>
              <c:f>'60 dat'!$C$5:$AE$5</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'60 dat'!$C$10:$AE$10</c:f>
              <c:numCache>
                <c:formatCode>#,##0.00</c:formatCode>
                <c:ptCount val="29"/>
                <c:pt idx="0">
                  <c:v>4817.54</c:v>
                </c:pt>
                <c:pt idx="1">
                  <c:v>5252.34</c:v>
                </c:pt>
                <c:pt idx="2">
                  <c:v>5813.4</c:v>
                </c:pt>
                <c:pt idx="3">
                  <c:v>6680.27</c:v>
                </c:pt>
                <c:pt idx="4">
                  <c:v>7679.38</c:v>
                </c:pt>
                <c:pt idx="5">
                  <c:v>8921.9500000000007</c:v>
                </c:pt>
                <c:pt idx="6">
                  <c:v>9586.33</c:v>
                </c:pt>
                <c:pt idx="7">
                  <c:v>10221.709999999999</c:v>
                </c:pt>
                <c:pt idx="8">
                  <c:v>10936.67</c:v>
                </c:pt>
                <c:pt idx="9">
                  <c:v>11284.2</c:v>
                </c:pt>
                <c:pt idx="10">
                  <c:v>11784.93</c:v>
                </c:pt>
                <c:pt idx="11">
                  <c:v>12282.53</c:v>
                </c:pt>
                <c:pt idx="12">
                  <c:v>12664.19</c:v>
                </c:pt>
                <c:pt idx="13">
                  <c:v>13243.89</c:v>
                </c:pt>
                <c:pt idx="14">
                  <c:v>13724.81</c:v>
                </c:pt>
                <c:pt idx="15">
                  <c:v>14698</c:v>
                </c:pt>
                <c:pt idx="16">
                  <c:v>15999.89</c:v>
                </c:pt>
                <c:pt idx="17">
                  <c:v>17011.75</c:v>
                </c:pt>
                <c:pt idx="18">
                  <c:v>17986.89</c:v>
                </c:pt>
                <c:pt idx="19">
                  <c:v>17601.62</c:v>
                </c:pt>
                <c:pt idx="20">
                  <c:v>18447.919999999998</c:v>
                </c:pt>
                <c:pt idx="21">
                  <c:v>20283.78</c:v>
                </c:pt>
                <c:pt idx="22">
                  <c:v>21386.15</c:v>
                </c:pt>
                <c:pt idx="23">
                  <c:v>21990.959999999999</c:v>
                </c:pt>
                <c:pt idx="24">
                  <c:v>22593.47</c:v>
                </c:pt>
                <c:pt idx="25">
                  <c:v>23438.240000000002</c:v>
                </c:pt>
                <c:pt idx="26">
                  <c:v>24154.11</c:v>
                </c:pt>
                <c:pt idx="27">
                  <c:v>24927.97</c:v>
                </c:pt>
                <c:pt idx="28">
                  <c:v>26056.94</c:v>
                </c:pt>
              </c:numCache>
            </c:numRef>
          </c:val>
          <c:extLst>
            <c:ext xmlns:c16="http://schemas.microsoft.com/office/drawing/2014/chart" uri="{C3380CC4-5D6E-409C-BE32-E72D297353CC}">
              <c16:uniqueId val="{00000002-D546-4BF1-9A28-8952B6CE0BDB}"/>
            </c:ext>
          </c:extLst>
        </c:ser>
        <c:dLbls>
          <c:showLegendKey val="0"/>
          <c:showVal val="0"/>
          <c:showCatName val="0"/>
          <c:showSerName val="0"/>
          <c:showPercent val="0"/>
          <c:showBubbleSize val="0"/>
        </c:dLbls>
        <c:gapWidth val="219"/>
        <c:overlap val="-27"/>
        <c:axId val="637838824"/>
        <c:axId val="637834120"/>
      </c:barChart>
      <c:catAx>
        <c:axId val="63783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637834120"/>
        <c:crosses val="autoZero"/>
        <c:auto val="1"/>
        <c:lblAlgn val="ctr"/>
        <c:lblOffset val="100"/>
        <c:noMultiLvlLbl val="0"/>
      </c:catAx>
      <c:valAx>
        <c:axId val="6378341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637838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 Por Tipo de Acreedor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'61 dat'!$C$6</c:f>
              <c:strCache>
                <c:ptCount val="1"/>
                <c:pt idx="0">
                  <c:v>Acreedor</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0C9-49F5-9823-C8DE0DF70BB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0C9-49F5-9823-C8DE0DF70BB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0C9-49F5-9823-C8DE0DF70BB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0C9-49F5-9823-C8DE0DF70BB4}"/>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0C9-49F5-9823-C8DE0DF70BB4}"/>
              </c:ext>
            </c:extLst>
          </c:dPt>
          <c:dLbls>
            <c:dLbl>
              <c:idx val="4"/>
              <c:layout>
                <c:manualLayout>
                  <c:x val="0.19583234908136482"/>
                  <c:y val="2.25743657042869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0C9-49F5-9823-C8DE0DF70BB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SV"/>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'61 dat'!$B$7:$B$11</c:f>
              <c:strCache>
                <c:ptCount val="5"/>
                <c:pt idx="0">
                  <c:v>Inversionistas</c:v>
                </c:pt>
                <c:pt idx="1">
                  <c:v>Multilateral</c:v>
                </c:pt>
                <c:pt idx="2">
                  <c:v>Bilateral</c:v>
                </c:pt>
                <c:pt idx="3">
                  <c:v>BCR</c:v>
                </c:pt>
                <c:pt idx="4">
                  <c:v>Otros</c:v>
                </c:pt>
              </c:strCache>
            </c:strRef>
          </c:cat>
          <c:val>
            <c:numRef>
              <c:f>'61 dat'!$C$7:$C$11</c:f>
              <c:numCache>
                <c:formatCode>#,##0.0</c:formatCode>
                <c:ptCount val="5"/>
                <c:pt idx="0">
                  <c:v>7478.3</c:v>
                </c:pt>
                <c:pt idx="1">
                  <c:v>3707.4</c:v>
                </c:pt>
                <c:pt idx="2">
                  <c:v>352.4</c:v>
                </c:pt>
                <c:pt idx="3">
                  <c:v>704.3</c:v>
                </c:pt>
                <c:pt idx="4">
                  <c:v>35.4</c:v>
                </c:pt>
              </c:numCache>
            </c:numRef>
          </c:val>
          <c:extLst>
            <c:ext xmlns:c16="http://schemas.microsoft.com/office/drawing/2014/chart" uri="{C3380CC4-5D6E-409C-BE32-E72D297353CC}">
              <c16:uniqueId val="{0000000A-C0C9-49F5-9823-C8DE0DF70BB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b) Por Rango de Tasas</a:t>
            </a:r>
            <a:r>
              <a:rPr lang="en-US" b="1" baseline="0">
                <a:solidFill>
                  <a:sysClr val="windowText" lastClr="000000"/>
                </a:solidFill>
              </a:rPr>
              <a:t> Vigentes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'61 dat'!$C$18</c:f>
              <c:strCache>
                <c:ptCount val="1"/>
                <c:pt idx="0">
                  <c:v>Tasas vigentes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6AE-461A-BE46-5EB6453620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6AE-461A-BE46-5EB6453620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6AE-461A-BE46-5EB6453620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6AE-461A-BE46-5EB6453620F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SV"/>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'61 dat'!$B$19:$B$22</c:f>
              <c:strCache>
                <c:ptCount val="4"/>
                <c:pt idx="0">
                  <c:v>Menores de 3%</c:v>
                </c:pt>
                <c:pt idx="1">
                  <c:v>Entre 3% y 6%</c:v>
                </c:pt>
                <c:pt idx="2">
                  <c:v>Entre 6% y 8%</c:v>
                </c:pt>
                <c:pt idx="3">
                  <c:v>Entre 8% y 9%</c:v>
                </c:pt>
              </c:strCache>
            </c:strRef>
          </c:cat>
          <c:val>
            <c:numRef>
              <c:f>'61 dat'!$C$19:$C$22</c:f>
              <c:numCache>
                <c:formatCode>#,##0.0</c:formatCode>
                <c:ptCount val="4"/>
                <c:pt idx="0">
                  <c:v>428.8</c:v>
                </c:pt>
                <c:pt idx="1">
                  <c:v>5207.8999999999996</c:v>
                </c:pt>
                <c:pt idx="2">
                  <c:v>5357.1</c:v>
                </c:pt>
                <c:pt idx="3">
                  <c:v>1284</c:v>
                </c:pt>
              </c:numCache>
            </c:numRef>
          </c:val>
          <c:extLst>
            <c:ext xmlns:c16="http://schemas.microsoft.com/office/drawing/2014/chart" uri="{C3380CC4-5D6E-409C-BE32-E72D297353CC}">
              <c16:uniqueId val="{00000008-36AE-461A-BE46-5EB6453620FD}"/>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 Por Vencimientos según</a:t>
            </a:r>
            <a:r>
              <a:rPr lang="en-US" b="1" baseline="0">
                <a:solidFill>
                  <a:sysClr val="windowText" lastClr="000000"/>
                </a:solidFill>
              </a:rPr>
              <a:t> Plazoz Efectivos</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'61 dat'!$C$29</c:f>
              <c:strCache>
                <c:ptCount val="1"/>
                <c:pt idx="0">
                  <c:v>Plazos</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5E1-4D34-8E42-6F8566166E1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5E1-4D34-8E42-6F8566166E1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5E1-4D34-8E42-6F8566166E1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5E1-4D34-8E42-6F8566166E1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SV"/>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'61 dat'!$B$30:$B$33</c:f>
              <c:strCache>
                <c:ptCount val="4"/>
                <c:pt idx="0">
                  <c:v>Entre 1-5 años</c:v>
                </c:pt>
                <c:pt idx="1">
                  <c:v>Entre 6-10 años</c:v>
                </c:pt>
                <c:pt idx="2">
                  <c:v>Entre 11-20 años</c:v>
                </c:pt>
                <c:pt idx="3">
                  <c:v>Mayores de 20 años</c:v>
                </c:pt>
              </c:strCache>
            </c:strRef>
          </c:cat>
          <c:val>
            <c:numRef>
              <c:f>'61 dat'!$C$30:$C$33</c:f>
              <c:numCache>
                <c:formatCode>#,##0.0</c:formatCode>
                <c:ptCount val="4"/>
                <c:pt idx="0">
                  <c:v>2493.3000000000002</c:v>
                </c:pt>
                <c:pt idx="1">
                  <c:v>3923</c:v>
                </c:pt>
                <c:pt idx="2">
                  <c:v>4706.5</c:v>
                </c:pt>
                <c:pt idx="3">
                  <c:v>1155</c:v>
                </c:pt>
              </c:numCache>
            </c:numRef>
          </c:val>
          <c:extLst>
            <c:ext xmlns:c16="http://schemas.microsoft.com/office/drawing/2014/chart" uri="{C3380CC4-5D6E-409C-BE32-E72D297353CC}">
              <c16:uniqueId val="{00000008-65E1-4D34-8E42-6F8566166E1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d) Por Monedas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'61 dat'!$C$40</c:f>
              <c:strCache>
                <c:ptCount val="1"/>
                <c:pt idx="0">
                  <c:v>Monto</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8AF-4B0E-A4BA-F26C3310D5B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8AF-4B0E-A4BA-F26C3310D5B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8AF-4B0E-A4BA-F26C3310D5B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8AF-4B0E-A4BA-F26C3310D5B1}"/>
              </c:ext>
            </c:extLst>
          </c:dPt>
          <c:dLbls>
            <c:dLbl>
              <c:idx val="1"/>
              <c:layout>
                <c:manualLayout>
                  <c:x val="-0.24027777777777778"/>
                  <c:y val="-1.77963692038495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mn-lt"/>
                      <a:ea typeface="+mn-ea"/>
                      <a:cs typeface="+mn-cs"/>
                    </a:defRPr>
                  </a:pPr>
                  <a:endParaRPr lang="es-SV"/>
                </a:p>
              </c:txPr>
              <c:showLegendKey val="0"/>
              <c:showVal val="0"/>
              <c:showCatName val="1"/>
              <c:showSerName val="0"/>
              <c:showPercent val="1"/>
              <c:showBubbleSize val="0"/>
              <c:extLst>
                <c:ext xmlns:c15="http://schemas.microsoft.com/office/drawing/2012/chart" uri="{CE6537A1-D6FC-4f65-9D91-7224C49458BB}">
                  <c15:layout>
                    <c:manualLayout>
                      <c:w val="0.14652777777777778"/>
                      <c:h val="0.12731481481481483"/>
                    </c:manualLayout>
                  </c15:layout>
                </c:ext>
                <c:ext xmlns:c16="http://schemas.microsoft.com/office/drawing/2014/chart" uri="{C3380CC4-5D6E-409C-BE32-E72D297353CC}">
                  <c16:uniqueId val="{00000003-D8AF-4B0E-A4BA-F26C3310D5B1}"/>
                </c:ext>
              </c:extLst>
            </c:dLbl>
            <c:dLbl>
              <c:idx val="2"/>
              <c:layout>
                <c:manualLayout>
                  <c:x val="0.16258748906386691"/>
                  <c:y val="-7.51822688830562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AF-4B0E-A4BA-F26C3310D5B1}"/>
                </c:ext>
              </c:extLst>
            </c:dLbl>
            <c:dLbl>
              <c:idx val="3"/>
              <c:layout>
                <c:manualLayout>
                  <c:x val="0.32251684164479438"/>
                  <c:y val="2.3731773111694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AF-4B0E-A4BA-F26C3310D5B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SV"/>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'61 dat'!$B$41:$B$44</c:f>
              <c:strCache>
                <c:ptCount val="4"/>
                <c:pt idx="0">
                  <c:v>Dólares</c:v>
                </c:pt>
                <c:pt idx="1">
                  <c:v>EUROS</c:v>
                </c:pt>
                <c:pt idx="2">
                  <c:v>Yenes</c:v>
                </c:pt>
                <c:pt idx="3">
                  <c:v>DEGS</c:v>
                </c:pt>
              </c:strCache>
            </c:strRef>
          </c:cat>
          <c:val>
            <c:numRef>
              <c:f>'61 dat'!$C$41:$C$44</c:f>
              <c:numCache>
                <c:formatCode>#,##0.0</c:formatCode>
                <c:ptCount val="4"/>
                <c:pt idx="0">
                  <c:v>11978.3</c:v>
                </c:pt>
                <c:pt idx="1">
                  <c:v>146.1</c:v>
                </c:pt>
                <c:pt idx="2">
                  <c:v>109.4</c:v>
                </c:pt>
                <c:pt idx="3">
                  <c:v>44</c:v>
                </c:pt>
              </c:numCache>
            </c:numRef>
          </c:val>
          <c:extLst>
            <c:ext xmlns:c16="http://schemas.microsoft.com/office/drawing/2014/chart" uri="{C3380CC4-5D6E-409C-BE32-E72D297353CC}">
              <c16:uniqueId val="{00000008-D8AF-4B0E-A4BA-F26C3310D5B1}"/>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Balance Primario del SPNF, 2014 - a junio 2019  sin Intereses</a:t>
            </a:r>
          </a:p>
          <a:p>
            <a:pPr>
              <a:defRPr/>
            </a:pPr>
            <a:r>
              <a:rPr lang="es-SV" sz="1200" b="1" i="0" baseline="0">
                <a:solidFill>
                  <a:schemeClr val="tx1"/>
                </a:solidFill>
              </a:rPr>
              <a:t>(En millones de US$ y % del PIB en eje secundario)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'13 dat'!$B$6</c:f>
              <c:strCache>
                <c:ptCount val="1"/>
                <c:pt idx="0">
                  <c:v>c/pensiones</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dLbls>
            <c:dLbl>
              <c:idx val="2"/>
              <c:layout>
                <c:manualLayout>
                  <c:x val="-1.4658633889192882E-3"/>
                  <c:y val="1.13050189752746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39-4AD2-A917-A3F9EBDC658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'13 dat'!$C$5:$AE$5</c15:sqref>
                  </c15:fullRef>
                </c:ext>
              </c:extLst>
              <c:f>'13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'13 dat'!$C$6:$AE$6</c15:sqref>
                  </c15:fullRef>
                </c:ext>
              </c:extLst>
              <c:f>'13 dat'!$Z$6:$AE$6</c:f>
              <c:numCache>
                <c:formatCode>#,##0.0</c:formatCode>
                <c:ptCount val="6"/>
                <c:pt idx="0">
                  <c:v>-296.59663588700153</c:v>
                </c:pt>
                <c:pt idx="1">
                  <c:v>-211.46012970218123</c:v>
                </c:pt>
                <c:pt idx="2">
                  <c:v>-45.027127454319157</c:v>
                </c:pt>
                <c:pt idx="3">
                  <c:v>167.57031401399991</c:v>
                </c:pt>
                <c:pt idx="4">
                  <c:v>229.63279971126997</c:v>
                </c:pt>
                <c:pt idx="5">
                  <c:v>411.5488655924994</c:v>
                </c:pt>
              </c:numCache>
            </c:numRef>
          </c:val>
          <c:extLst>
            <c:ext xmlns:c16="http://schemas.microsoft.com/office/drawing/2014/chart" uri="{C3380CC4-5D6E-409C-BE32-E72D297353CC}">
              <c16:uniqueId val="{00000001-6739-4AD2-A917-A3F9EBDC658F}"/>
            </c:ext>
          </c:extLst>
        </c:ser>
        <c:ser>
          <c:idx val="1"/>
          <c:order val="1"/>
          <c:tx>
            <c:strRef>
              <c:f>'13 dat'!$B$7</c:f>
              <c:strCache>
                <c:ptCount val="1"/>
                <c:pt idx="0">
                  <c:v>s/pensiones</c:v>
                </c:pt>
              </c:strCache>
            </c:strRef>
          </c:tx>
          <c:spPr>
            <a:solidFill>
              <a:schemeClr val="accent1"/>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'13 dat'!$C$5:$AE$5</c15:sqref>
                  </c15:fullRef>
                </c:ext>
              </c:extLst>
              <c:f>'13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'13 dat'!$C$7:$AE$7</c15:sqref>
                  </c15:fullRef>
                </c:ext>
              </c:extLst>
              <c:f>'13 dat'!$Z$7:$AE$7</c:f>
              <c:numCache>
                <c:formatCode>#,##0.0</c:formatCode>
                <c:ptCount val="6"/>
                <c:pt idx="0">
                  <c:v>170.38934102499854</c:v>
                </c:pt>
                <c:pt idx="1">
                  <c:v>273.75009792781873</c:v>
                </c:pt>
                <c:pt idx="2">
                  <c:v>474.85721757568092</c:v>
                </c:pt>
                <c:pt idx="3">
                  <c:v>727.9572563239999</c:v>
                </c:pt>
                <c:pt idx="4">
                  <c:v>595.63029758127004</c:v>
                </c:pt>
                <c:pt idx="5">
                  <c:v>574.91737585249939</c:v>
                </c:pt>
              </c:numCache>
            </c:numRef>
          </c:val>
          <c:extLst>
            <c:ext xmlns:c15="http://schemas.microsoft.com/office/drawing/2012/chart" uri="{02D57815-91ED-43cb-92C2-25804820EDAC}">
              <c15:categoryFilterExceptions>
                <c15:categoryFilterException>
                  <c15:sqref>'13 dat'!$Y$7</c15:sqref>
                  <c15:dLbl>
                    <c:idx val="-1"/>
                    <c:layout>
                      <c:manualLayout>
                        <c:x val="1.4658633889191809E-3"/>
                        <c:y val="4.6207956517956568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6-6739-4AD2-A917-A3F9EBDC658F}"/>
                      </c:ext>
                    </c:extLst>
                  </c15:dLbl>
                </c15:categoryFilterException>
              </c15:categoryFilterExceptions>
            </c:ext>
            <c:ext xmlns:c16="http://schemas.microsoft.com/office/drawing/2014/chart" uri="{C3380CC4-5D6E-409C-BE32-E72D297353CC}">
              <c16:uniqueId val="{00000002-6739-4AD2-A917-A3F9EBDC658F}"/>
            </c:ext>
          </c:extLst>
        </c:ser>
        <c:dLbls>
          <c:showLegendKey val="0"/>
          <c:showVal val="0"/>
          <c:showCatName val="0"/>
          <c:showSerName val="0"/>
          <c:showPercent val="0"/>
          <c:showBubbleSize val="0"/>
        </c:dLbls>
        <c:gapWidth val="60"/>
        <c:overlap val="-10"/>
        <c:axId val="530586160"/>
        <c:axId val="530585768"/>
      </c:barChart>
      <c:lineChart>
        <c:grouping val="standard"/>
        <c:varyColors val="0"/>
        <c:ser>
          <c:idx val="2"/>
          <c:order val="2"/>
          <c:tx>
            <c:strRef>
              <c:f>'13 dat'!$B$8</c:f>
              <c:strCache>
                <c:ptCount val="1"/>
                <c:pt idx="0">
                  <c:v>% PIB c/pensiones</c:v>
                </c:pt>
              </c:strCache>
            </c:strRef>
          </c:tx>
          <c:spPr>
            <a:ln w="28575" cap="rnd">
              <a:solidFill>
                <a:srgbClr val="C00000"/>
              </a:solidFill>
              <a:round/>
            </a:ln>
            <a:effectLst/>
          </c:spPr>
          <c:marker>
            <c:symbol val="diamond"/>
            <c:size val="8"/>
            <c:spPr>
              <a:solidFill>
                <a:schemeClr val="accent3"/>
              </a:solidFill>
              <a:ln w="9525">
                <a:solidFill>
                  <a:srgbClr val="C00000"/>
                </a:solidFill>
              </a:ln>
              <a:effectLst/>
              <a:scene3d>
                <a:camera prst="orthographicFront"/>
                <a:lightRig rig="threePt" dir="t">
                  <a:rot lat="0" lon="0" rev="1200000"/>
                </a:lightRig>
              </a:scene3d>
              <a:sp3d>
                <a:bevelT w="63500" h="25400"/>
              </a:sp3d>
            </c:spPr>
          </c:marker>
          <c:dLbls>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39-4AD2-A917-A3F9EBDC658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'13 dat'!$C$5:$AE$5</c15:sqref>
                  </c15:fullRef>
                </c:ext>
              </c:extLst>
              <c:f>'13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'13 dat'!$C$8:$AE$8</c15:sqref>
                  </c15:fullRef>
                </c:ext>
              </c:extLst>
              <c:f>'13 dat'!$Z$8:$AE$8</c:f>
              <c:numCache>
                <c:formatCode>0.0%</c:formatCode>
                <c:ptCount val="6"/>
                <c:pt idx="0">
                  <c:v>-1.3127537996022811E-2</c:v>
                </c:pt>
                <c:pt idx="1">
                  <c:v>-9.0220140122373189E-3</c:v>
                </c:pt>
                <c:pt idx="2">
                  <c:v>-1.8641600727296165E-3</c:v>
                </c:pt>
                <c:pt idx="3">
                  <c:v>6.7221805070368703E-3</c:v>
                </c:pt>
                <c:pt idx="4">
                  <c:v>8.8127308775040342E-3</c:v>
                </c:pt>
                <c:pt idx="5">
                  <c:v>1.5330730669089221E-2</c:v>
                </c:pt>
              </c:numCache>
            </c:numRef>
          </c:val>
          <c:smooth val="0"/>
          <c:extLst>
            <c:ext xmlns:c16="http://schemas.microsoft.com/office/drawing/2014/chart" uri="{C3380CC4-5D6E-409C-BE32-E72D297353CC}">
              <c16:uniqueId val="{00000004-6739-4AD2-A917-A3F9EBDC658F}"/>
            </c:ext>
          </c:extLst>
        </c:ser>
        <c:ser>
          <c:idx val="3"/>
          <c:order val="3"/>
          <c:tx>
            <c:strRef>
              <c:f>'13 dat'!$B$9</c:f>
              <c:strCache>
                <c:ptCount val="1"/>
                <c:pt idx="0">
                  <c:v>% PIB s/pensiones</c:v>
                </c:pt>
              </c:strCache>
            </c:strRef>
          </c:tx>
          <c:spPr>
            <a:ln w="28575" cap="rnd">
              <a:solidFill>
                <a:srgbClr val="7030A0"/>
              </a:solidFill>
              <a:round/>
            </a:ln>
            <a:effectLst/>
          </c:spPr>
          <c:marker>
            <c:symbol val="x"/>
            <c:size val="8"/>
            <c:spPr>
              <a:no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'13 dat'!$C$5:$AE$5</c15:sqref>
                  </c15:fullRef>
                </c:ext>
              </c:extLst>
              <c:f>'13 dat'!$Z$5:$AE$5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'13 dat'!$C$9:$AE$9</c15:sqref>
                  </c15:fullRef>
                </c:ext>
              </c:extLst>
              <c:f>'13 dat'!$Z$9:$AE$9</c:f>
              <c:numCache>
                <c:formatCode>0.0%</c:formatCode>
                <c:ptCount val="6"/>
                <c:pt idx="0">
                  <c:v>7.5415304079009789E-3</c:v>
                </c:pt>
                <c:pt idx="1">
                  <c:v>1.1679635413231484E-2</c:v>
                </c:pt>
                <c:pt idx="2">
                  <c:v>1.9659478969652821E-2</c:v>
                </c:pt>
                <c:pt idx="3">
                  <c:v>2.920242828934726E-2</c:v>
                </c:pt>
                <c:pt idx="4">
                  <c:v>2.2858796834212693E-2</c:v>
                </c:pt>
                <c:pt idx="5">
                  <c:v>2.1416420218981748E-2</c:v>
                </c:pt>
              </c:numCache>
            </c:numRef>
          </c:val>
          <c:smooth val="0"/>
          <c:extLst>
            <c:ext xmlns:c16="http://schemas.microsoft.com/office/drawing/2014/chart" uri="{C3380CC4-5D6E-409C-BE32-E72D297353CC}">
              <c16:uniqueId val="{00000005-6739-4AD2-A917-A3F9EBDC658F}"/>
            </c:ext>
          </c:extLst>
        </c:ser>
        <c:dLbls>
          <c:showLegendKey val="0"/>
          <c:showVal val="0"/>
          <c:showCatName val="0"/>
          <c:showSerName val="0"/>
          <c:showPercent val="0"/>
          <c:showBubbleSize val="0"/>
        </c:dLbls>
        <c:marker val="1"/>
        <c:smooth val="0"/>
        <c:axId val="530586552"/>
        <c:axId val="530589296"/>
      </c:lineChart>
      <c:catAx>
        <c:axId val="530586160"/>
        <c:scaling>
          <c:orientation val="minMax"/>
        </c:scaling>
        <c:delete val="0"/>
        <c:axPos val="b"/>
        <c:numFmt formatCode="General" sourceLinked="1"/>
        <c:majorTickMark val="in"/>
        <c:minorTickMark val="none"/>
        <c:tickLblPos val="high"/>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30585768"/>
        <c:crosses val="autoZero"/>
        <c:auto val="1"/>
        <c:lblAlgn val="ctr"/>
        <c:lblOffset val="100"/>
        <c:noMultiLvlLbl val="0"/>
      </c:catAx>
      <c:valAx>
        <c:axId val="530585768"/>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30586160"/>
        <c:crosses val="autoZero"/>
        <c:crossBetween val="between"/>
      </c:valAx>
      <c:valAx>
        <c:axId val="530589296"/>
        <c:scaling>
          <c:orientation val="minMax"/>
        </c:scaling>
        <c:delete val="0"/>
        <c:axPos val="r"/>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30586552"/>
        <c:crosses val="max"/>
        <c:crossBetween val="between"/>
      </c:valAx>
      <c:catAx>
        <c:axId val="530586552"/>
        <c:scaling>
          <c:orientation val="minMax"/>
        </c:scaling>
        <c:delete val="1"/>
        <c:axPos val="b"/>
        <c:numFmt formatCode="General" sourceLinked="1"/>
        <c:majorTickMark val="out"/>
        <c:minorTickMark val="none"/>
        <c:tickLblPos val="nextTo"/>
        <c:crossAx val="530589296"/>
        <c:crosses val="autoZero"/>
        <c:auto val="1"/>
        <c:lblAlgn val="ctr"/>
        <c:lblOffset val="100"/>
        <c:noMultiLvlLbl val="0"/>
      </c:catAx>
      <c:spPr>
        <a:noFill/>
        <a:ln>
          <a:solidFill>
            <a:srgbClr val="7030A0"/>
          </a:solid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Carga Tributaria Bruta, 2014 - a junio 2019</a:t>
            </a:r>
          </a:p>
          <a:p>
            <a:pPr>
              <a:defRPr/>
            </a:pPr>
            <a:r>
              <a:rPr lang="es-SV" sz="1200" b="1" i="0" baseline="0">
                <a:solidFill>
                  <a:schemeClr val="tx1"/>
                </a:solidFill>
              </a:rPr>
              <a:t>(En millones de US$ y en % del PIB en eje secundario)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'31 dat'!$B$6</c:f>
              <c:strCache>
                <c:ptCount val="1"/>
                <c:pt idx="0">
                  <c:v>Millones US$</c:v>
                </c:pt>
              </c:strCache>
            </c:strRef>
          </c:tx>
          <c:spPr>
            <a:solidFill>
              <a:schemeClr val="accent2"/>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'31 dat'!$C$5:$AF$5</c15:sqref>
                  </c15:fullRef>
                </c:ext>
              </c:extLst>
              <c:f>'31 dat'!$AA$5:$AF$5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'31 dat'!$C$6:$AF$6</c15:sqref>
                  </c15:fullRef>
                </c:ext>
              </c:extLst>
              <c:f>'31 dat'!$AA$6:$AF$6</c:f>
              <c:numCache>
                <c:formatCode>#,##0.0</c:formatCode>
                <c:ptCount val="6"/>
                <c:pt idx="0">
                  <c:v>3989</c:v>
                </c:pt>
                <c:pt idx="1">
                  <c:v>4118.05348099</c:v>
                </c:pt>
                <c:pt idx="2">
                  <c:v>4237.99358295</c:v>
                </c:pt>
                <c:pt idx="3">
                  <c:v>4488.1793214429999</c:v>
                </c:pt>
                <c:pt idx="4">
                  <c:v>4769.3019497790001</c:v>
                </c:pt>
                <c:pt idx="5">
                  <c:v>2695.3323726800004</c:v>
                </c:pt>
              </c:numCache>
            </c:numRef>
          </c:val>
          <c:extLst>
            <c:ext xmlns:c16="http://schemas.microsoft.com/office/drawing/2014/chart" uri="{C3380CC4-5D6E-409C-BE32-E72D297353CC}">
              <c16:uniqueId val="{00000000-E974-42AD-9E2C-AF155F5F31E8}"/>
            </c:ext>
          </c:extLst>
        </c:ser>
        <c:dLbls>
          <c:showLegendKey val="0"/>
          <c:showVal val="0"/>
          <c:showCatName val="0"/>
          <c:showSerName val="0"/>
          <c:showPercent val="0"/>
          <c:showBubbleSize val="0"/>
        </c:dLbls>
        <c:gapWidth val="70"/>
        <c:overlap val="-27"/>
        <c:axId val="628288072"/>
        <c:axId val="628290816"/>
      </c:barChart>
      <c:lineChart>
        <c:grouping val="standard"/>
        <c:varyColors val="0"/>
        <c:ser>
          <c:idx val="1"/>
          <c:order val="1"/>
          <c:tx>
            <c:strRef>
              <c:f>'31 dat'!$B$7</c:f>
              <c:strCache>
                <c:ptCount val="1"/>
                <c:pt idx="0">
                  <c:v>% del PIB</c:v>
                </c:pt>
              </c:strCache>
            </c:strRef>
          </c:tx>
          <c:spPr>
            <a:ln w="28575" cap="rnd">
              <a:solidFill>
                <a:srgbClr val="002060"/>
              </a:solidFill>
              <a:round/>
            </a:ln>
            <a:effectLst/>
          </c:spPr>
          <c:marker>
            <c:symbol val="diamond"/>
            <c:size val="8"/>
            <c:spPr>
              <a:solidFill>
                <a:srgbClr val="002060"/>
              </a:solidFill>
              <a:ln w="9525">
                <a:solidFill>
                  <a:srgbClr val="002060"/>
                </a:solidFill>
              </a:ln>
              <a:effectLst/>
              <a:scene3d>
                <a:camera prst="orthographicFront"/>
                <a:lightRig rig="threePt" dir="t">
                  <a:rot lat="0" lon="0" rev="1200000"/>
                </a:lightRig>
              </a:scene3d>
              <a:sp3d>
                <a:bevelT w="63500" h="25400"/>
              </a:sp3d>
            </c:spPr>
          </c:marker>
          <c:dLbls>
            <c:dLbl>
              <c:idx val="5"/>
              <c:layout>
                <c:manualLayout>
                  <c:x val="-1.3500601811945763E-2"/>
                  <c:y val="-2.81477461503726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74-42AD-9E2C-AF155F5F31E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'31 dat'!$C$5:$AF$5</c15:sqref>
                  </c15:fullRef>
                </c:ext>
              </c:extLst>
              <c:f>'31 dat'!$AA$5:$AF$5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'31 dat'!$C$7:$AF$7</c15:sqref>
                  </c15:fullRef>
                </c:ext>
              </c:extLst>
              <c:f>'31 dat'!$AA$7:$AF$7</c:f>
              <c:numCache>
                <c:formatCode>0.0%</c:formatCode>
                <c:ptCount val="6"/>
                <c:pt idx="0">
                  <c:v>0.17655543836338553</c:v>
                </c:pt>
                <c:pt idx="1">
                  <c:v>0.1756980678152455</c:v>
                </c:pt>
                <c:pt idx="2">
                  <c:v>0.17545641644217072</c:v>
                </c:pt>
                <c:pt idx="3">
                  <c:v>0.18004592116578283</c:v>
                </c:pt>
                <c:pt idx="4">
                  <c:v>0.18303384625282171</c:v>
                </c:pt>
                <c:pt idx="5">
                  <c:v>0.10040463751429519</c:v>
                </c:pt>
              </c:numCache>
            </c:numRef>
          </c:val>
          <c:smooth val="0"/>
          <c:extLst>
            <c:ext xmlns:c16="http://schemas.microsoft.com/office/drawing/2014/chart" uri="{C3380CC4-5D6E-409C-BE32-E72D297353CC}">
              <c16:uniqueId val="{00000002-E974-42AD-9E2C-AF155F5F31E8}"/>
            </c:ext>
          </c:extLst>
        </c:ser>
        <c:dLbls>
          <c:showLegendKey val="0"/>
          <c:showVal val="0"/>
          <c:showCatName val="0"/>
          <c:showSerName val="0"/>
          <c:showPercent val="0"/>
          <c:showBubbleSize val="0"/>
        </c:dLbls>
        <c:marker val="1"/>
        <c:smooth val="0"/>
        <c:axId val="628290032"/>
        <c:axId val="628287680"/>
      </c:lineChart>
      <c:catAx>
        <c:axId val="6282880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28290816"/>
        <c:crosses val="autoZero"/>
        <c:auto val="1"/>
        <c:lblAlgn val="ctr"/>
        <c:lblOffset val="100"/>
        <c:noMultiLvlLbl val="0"/>
      </c:catAx>
      <c:valAx>
        <c:axId val="628290816"/>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28288072"/>
        <c:crosses val="autoZero"/>
        <c:crossBetween val="between"/>
      </c:valAx>
      <c:valAx>
        <c:axId val="628287680"/>
        <c:scaling>
          <c:orientation val="minMax"/>
          <c:min val="6.0000000000000012E-2"/>
        </c:scaling>
        <c:delete val="0"/>
        <c:axPos val="r"/>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28290032"/>
        <c:crosses val="max"/>
        <c:crossBetween val="between"/>
      </c:valAx>
      <c:catAx>
        <c:axId val="628290032"/>
        <c:scaling>
          <c:orientation val="minMax"/>
        </c:scaling>
        <c:delete val="1"/>
        <c:axPos val="b"/>
        <c:numFmt formatCode="General" sourceLinked="1"/>
        <c:majorTickMark val="out"/>
        <c:minorTickMark val="none"/>
        <c:tickLblPos val="nextTo"/>
        <c:crossAx val="6282876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Composición de la Carga Tributaria Bruta, 2014 - a junio 2019</a:t>
            </a:r>
          </a:p>
          <a:p>
            <a:pPr>
              <a:defRPr/>
            </a:pPr>
            <a:r>
              <a:rPr lang="es-SV" sz="1200" b="1" i="0" baseline="0">
                <a:solidFill>
                  <a:schemeClr val="tx1"/>
                </a:solidFill>
              </a:rPr>
              <a:t>(En porcentaje del PIB)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bar"/>
        <c:grouping val="stacked"/>
        <c:varyColors val="0"/>
        <c:ser>
          <c:idx val="0"/>
          <c:order val="0"/>
          <c:tx>
            <c:strRef>
              <c:f>'32 dat'!$B$6</c:f>
              <c:strCache>
                <c:ptCount val="1"/>
                <c:pt idx="0">
                  <c:v>Renta</c:v>
                </c:pt>
              </c:strCache>
            </c:strRef>
          </c:tx>
          <c:spPr>
            <a:solidFill>
              <a:srgbClr val="820000"/>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'32 dat'!$C$5:$V$5</c15:sqref>
                  </c15:fullRef>
                </c:ext>
              </c:extLst>
              <c:f>'32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'32 dat'!$C$6:$V$6</c15:sqref>
                  </c15:fullRef>
                </c:ext>
              </c:extLst>
              <c:f>'32 dat'!$Q$6:$V$6</c:f>
              <c:numCache>
                <c:formatCode>0.0%</c:formatCode>
                <c:ptCount val="6"/>
                <c:pt idx="0">
                  <c:v>6.8575435996772516E-2</c:v>
                </c:pt>
                <c:pt idx="1">
                  <c:v>6.7192195318419801E-2</c:v>
                </c:pt>
                <c:pt idx="2">
                  <c:v>6.9957315080125079E-2</c:v>
                </c:pt>
                <c:pt idx="3">
                  <c:v>7.1131534250883643E-2</c:v>
                </c:pt>
                <c:pt idx="4">
                  <c:v>7.1373663553740391E-2</c:v>
                </c:pt>
                <c:pt idx="5">
                  <c:v>4.3933949406773032E-2</c:v>
                </c:pt>
              </c:numCache>
            </c:numRef>
          </c:val>
          <c:extLst>
            <c:ext xmlns:c16="http://schemas.microsoft.com/office/drawing/2014/chart" uri="{C3380CC4-5D6E-409C-BE32-E72D297353CC}">
              <c16:uniqueId val="{00000000-D2FA-4F15-B04B-1F86E984A1A3}"/>
            </c:ext>
          </c:extLst>
        </c:ser>
        <c:ser>
          <c:idx val="1"/>
          <c:order val="1"/>
          <c:tx>
            <c:strRef>
              <c:f>'32 dat'!$B$7</c:f>
              <c:strCache>
                <c:ptCount val="1"/>
                <c:pt idx="0">
                  <c:v>IVA</c:v>
                </c:pt>
              </c:strCache>
            </c:strRef>
          </c:tx>
          <c:spPr>
            <a:solidFill>
              <a:schemeClr val="accent1">
                <a:lumMod val="50000"/>
              </a:schemeClr>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'32 dat'!$C$5:$V$5</c15:sqref>
                  </c15:fullRef>
                </c:ext>
              </c:extLst>
              <c:f>'32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'32 dat'!$C$7:$V$7</c15:sqref>
                  </c15:fullRef>
                </c:ext>
              </c:extLst>
              <c:f>'32 dat'!$Q$7:$V$7</c:f>
              <c:numCache>
                <c:formatCode>0.0%</c:formatCode>
                <c:ptCount val="6"/>
                <c:pt idx="0">
                  <c:v>8.4537181572374664E-2</c:v>
                </c:pt>
                <c:pt idx="1">
                  <c:v>8.2528615629842511E-2</c:v>
                </c:pt>
                <c:pt idx="2">
                  <c:v>7.6752011548759186E-2</c:v>
                </c:pt>
                <c:pt idx="3">
                  <c:v>7.8102652006962467E-2</c:v>
                </c:pt>
                <c:pt idx="4">
                  <c:v>8.0722588083213156E-2</c:v>
                </c:pt>
                <c:pt idx="5">
                  <c:v>4.1100533544424035E-2</c:v>
                </c:pt>
              </c:numCache>
            </c:numRef>
          </c:val>
          <c:extLst>
            <c:ext xmlns:c16="http://schemas.microsoft.com/office/drawing/2014/chart" uri="{C3380CC4-5D6E-409C-BE32-E72D297353CC}">
              <c16:uniqueId val="{00000001-D2FA-4F15-B04B-1F86E984A1A3}"/>
            </c:ext>
          </c:extLst>
        </c:ser>
        <c:ser>
          <c:idx val="2"/>
          <c:order val="2"/>
          <c:tx>
            <c:strRef>
              <c:f>'32 dat'!$B$8</c:f>
              <c:strCache>
                <c:ptCount val="1"/>
                <c:pt idx="0">
                  <c:v>Aranceles</c:v>
                </c:pt>
              </c:strCache>
            </c:strRef>
          </c:tx>
          <c:spPr>
            <a:solidFill>
              <a:schemeClr val="accent3"/>
            </a:solidFill>
            <a:ln>
              <a:noFill/>
            </a:ln>
            <a:effectLst/>
            <a:scene3d>
              <a:camera prst="orthographicFront"/>
              <a:lightRig rig="threePt" dir="t">
                <a:rot lat="0" lon="0" rev="1200000"/>
              </a:lightRig>
            </a:scene3d>
            <a:sp3d>
              <a:bevelT w="63500" h="25400"/>
            </a:sp3d>
          </c:spPr>
          <c:invertIfNegative val="0"/>
          <c:dLbls>
            <c:dLbl>
              <c:idx val="3"/>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extLst>
                <c:ext xmlns:c16="http://schemas.microsoft.com/office/drawing/2014/chart" uri="{C3380CC4-5D6E-409C-BE32-E72D297353CC}">
                  <c16:uniqueId val="{00000002-D2FA-4F15-B04B-1F86E984A1A3}"/>
                </c:ext>
              </c:extLst>
            </c:dLbl>
            <c:dLbl>
              <c:idx val="4"/>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extLst>
                <c:ext xmlns:c16="http://schemas.microsoft.com/office/drawing/2014/chart" uri="{C3380CC4-5D6E-409C-BE32-E72D297353CC}">
                  <c16:uniqueId val="{00000003-D2FA-4F15-B04B-1F86E984A1A3}"/>
                </c:ext>
              </c:extLst>
            </c:dLbl>
            <c:dLbl>
              <c:idx val="5"/>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extLst>
                <c:ext xmlns:c16="http://schemas.microsoft.com/office/drawing/2014/chart" uri="{C3380CC4-5D6E-409C-BE32-E72D297353CC}">
                  <c16:uniqueId val="{00000004-D2FA-4F15-B04B-1F86E984A1A3}"/>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'32 dat'!$C$5:$V$5</c15:sqref>
                  </c15:fullRef>
                </c:ext>
              </c:extLst>
              <c:f>'32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'32 dat'!$C$8:$V$8</c15:sqref>
                  </c15:fullRef>
                </c:ext>
              </c:extLst>
              <c:f>'32 dat'!$Q$8:$V$8</c:f>
              <c:numCache>
                <c:formatCode>0.0%</c:formatCode>
                <c:ptCount val="6"/>
                <c:pt idx="0">
                  <c:v>8.023671361238445E-3</c:v>
                </c:pt>
                <c:pt idx="1">
                  <c:v>8.2845725617623159E-3</c:v>
                </c:pt>
                <c:pt idx="2">
                  <c:v>8.548248388369515E-3</c:v>
                </c:pt>
                <c:pt idx="3">
                  <c:v>8.4569027806917271E-3</c:v>
                </c:pt>
                <c:pt idx="4">
                  <c:v>8.7278632425756824E-3</c:v>
                </c:pt>
                <c:pt idx="5">
                  <c:v>4.0105760712542881E-3</c:v>
                </c:pt>
              </c:numCache>
            </c:numRef>
          </c:val>
          <c:extLst>
            <c:ext xmlns:c16="http://schemas.microsoft.com/office/drawing/2014/chart" uri="{C3380CC4-5D6E-409C-BE32-E72D297353CC}">
              <c16:uniqueId val="{00000005-D2FA-4F15-B04B-1F86E984A1A3}"/>
            </c:ext>
          </c:extLst>
        </c:ser>
        <c:ser>
          <c:idx val="3"/>
          <c:order val="3"/>
          <c:tx>
            <c:strRef>
              <c:f>'32 dat'!$B$9</c:f>
              <c:strCache>
                <c:ptCount val="1"/>
                <c:pt idx="0">
                  <c:v>Impuestos Específicos</c:v>
                </c:pt>
              </c:strCache>
            </c:strRef>
          </c:tx>
          <c:spPr>
            <a:solidFill>
              <a:schemeClr val="accent4"/>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'32 dat'!$C$5:$V$5</c15:sqref>
                  </c15:fullRef>
                </c:ext>
              </c:extLst>
              <c:f>'32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'32 dat'!$C$9:$V$9</c15:sqref>
                  </c15:fullRef>
                </c:ext>
              </c:extLst>
              <c:f>'32 dat'!$Q$9:$V$9</c:f>
              <c:numCache>
                <c:formatCode>0.0%</c:formatCode>
                <c:ptCount val="6"/>
                <c:pt idx="0">
                  <c:v>6.6119781273084651E-3</c:v>
                </c:pt>
                <c:pt idx="1">
                  <c:v>6.9258570609397295E-3</c:v>
                </c:pt>
                <c:pt idx="2">
                  <c:v>7.0444263348970427E-3</c:v>
                </c:pt>
                <c:pt idx="3">
                  <c:v>6.9490485363629699E-3</c:v>
                </c:pt>
                <c:pt idx="4">
                  <c:v>6.830146387488324E-3</c:v>
                </c:pt>
                <c:pt idx="5">
                  <c:v>3.4909048627848323E-3</c:v>
                </c:pt>
              </c:numCache>
            </c:numRef>
          </c:val>
          <c:extLst>
            <c:ext xmlns:c16="http://schemas.microsoft.com/office/drawing/2014/chart" uri="{C3380CC4-5D6E-409C-BE32-E72D297353CC}">
              <c16:uniqueId val="{00000006-D2FA-4F15-B04B-1F86E984A1A3}"/>
            </c:ext>
          </c:extLst>
        </c:ser>
        <c:ser>
          <c:idx val="4"/>
          <c:order val="4"/>
          <c:tx>
            <c:strRef>
              <c:f>'32 dat'!$B$10</c:f>
              <c:strCache>
                <c:ptCount val="1"/>
                <c:pt idx="0">
                  <c:v>Otros</c:v>
                </c:pt>
              </c:strCache>
            </c:strRef>
          </c:tx>
          <c:spPr>
            <a:solidFill>
              <a:schemeClr val="accent5"/>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'32 dat'!$C$5:$V$5</c15:sqref>
                  </c15:fullRef>
                </c:ext>
              </c:extLst>
              <c:f>'32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'32 dat'!$C$10:$V$10</c15:sqref>
                  </c15:fullRef>
                </c:ext>
              </c:extLst>
              <c:f>'32 dat'!$Q$10:$V$10</c:f>
              <c:numCache>
                <c:formatCode>0.0%</c:formatCode>
                <c:ptCount val="6"/>
                <c:pt idx="0">
                  <c:v>3.4762522246472101E-3</c:v>
                </c:pt>
                <c:pt idx="1">
                  <c:v>5.1166469837325658E-3</c:v>
                </c:pt>
                <c:pt idx="2">
                  <c:v>5.0632952594817197E-3</c:v>
                </c:pt>
                <c:pt idx="3">
                  <c:v>4.927361698124637E-3</c:v>
                </c:pt>
                <c:pt idx="4">
                  <c:v>5.0056633296158351E-3</c:v>
                </c:pt>
                <c:pt idx="5">
                  <c:v>1.1541461066802757E-3</c:v>
                </c:pt>
              </c:numCache>
            </c:numRef>
          </c:val>
          <c:extLst>
            <c:ext xmlns:c16="http://schemas.microsoft.com/office/drawing/2014/chart" uri="{C3380CC4-5D6E-409C-BE32-E72D297353CC}">
              <c16:uniqueId val="{00000007-D2FA-4F15-B04B-1F86E984A1A3}"/>
            </c:ext>
          </c:extLst>
        </c:ser>
        <c:ser>
          <c:idx val="5"/>
          <c:order val="5"/>
          <c:tx>
            <c:strRef>
              <c:f>'32 dat'!$B$11</c:f>
              <c:strCache>
                <c:ptCount val="1"/>
                <c:pt idx="0">
                  <c:v>Contribuciones especiales</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'32 dat'!$C$5:$V$5</c15:sqref>
                  </c15:fullRef>
                </c:ext>
              </c:extLst>
              <c:f>'32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'32 dat'!$C$11:$V$11</c15:sqref>
                  </c15:fullRef>
                </c:ext>
              </c:extLst>
              <c:f>'32 dat'!$Q$11:$V$11</c:f>
              <c:numCache>
                <c:formatCode>#,##0.0</c:formatCode>
                <c:ptCount val="6"/>
                <c:pt idx="0" formatCode="0.0%">
                  <c:v>5.3316375527973341E-3</c:v>
                </c:pt>
                <c:pt idx="1" formatCode="0.0%">
                  <c:v>5.6501802605485735E-3</c:v>
                </c:pt>
                <c:pt idx="2" formatCode="0.0%">
                  <c:v>8.0911198305381564E-3</c:v>
                </c:pt>
                <c:pt idx="3" formatCode="0.0%">
                  <c:v>1.0478421892757413E-2</c:v>
                </c:pt>
                <c:pt idx="4" formatCode="0.0%">
                  <c:v>1.0373921656188336E-2</c:v>
                </c:pt>
                <c:pt idx="5" formatCode="0.0%">
                  <c:v>6.7145275223787189E-3</c:v>
                </c:pt>
              </c:numCache>
            </c:numRef>
          </c:val>
          <c:extLst>
            <c:ext xmlns:c16="http://schemas.microsoft.com/office/drawing/2014/chart" uri="{C3380CC4-5D6E-409C-BE32-E72D297353CC}">
              <c16:uniqueId val="{00000008-D2FA-4F15-B04B-1F86E984A1A3}"/>
            </c:ext>
          </c:extLst>
        </c:ser>
        <c:dLbls>
          <c:showLegendKey val="0"/>
          <c:showVal val="0"/>
          <c:showCatName val="0"/>
          <c:showSerName val="0"/>
          <c:showPercent val="0"/>
          <c:showBubbleSize val="0"/>
        </c:dLbls>
        <c:gapWidth val="70"/>
        <c:overlap val="100"/>
        <c:axId val="628288856"/>
        <c:axId val="628287288"/>
      </c:barChart>
      <c:catAx>
        <c:axId val="628288856"/>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28287288"/>
        <c:crosses val="autoZero"/>
        <c:auto val="1"/>
        <c:lblAlgn val="ctr"/>
        <c:lblOffset val="100"/>
        <c:noMultiLvlLbl val="0"/>
      </c:catAx>
      <c:valAx>
        <c:axId val="628287288"/>
        <c:scaling>
          <c:orientation val="minMax"/>
        </c:scaling>
        <c:delete val="0"/>
        <c:axPos val="b"/>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28288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Estructura de los Ingresos Tributarios Brutos, 2014 - a junio 2019</a:t>
            </a:r>
          </a:p>
          <a:p>
            <a:pPr>
              <a:defRPr/>
            </a:pPr>
            <a:r>
              <a:rPr lang="es-SV" sz="1200" b="1" i="0" baseline="0">
                <a:solidFill>
                  <a:schemeClr val="tx1"/>
                </a:solidFill>
              </a:rPr>
              <a:t>(En %  del Ingreso Tributario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percentStacked"/>
        <c:varyColors val="0"/>
        <c:ser>
          <c:idx val="0"/>
          <c:order val="0"/>
          <c:tx>
            <c:strRef>
              <c:f>'33 dat'!$B$6</c:f>
              <c:strCache>
                <c:ptCount val="1"/>
                <c:pt idx="0">
                  <c:v>Renta</c:v>
                </c:pt>
              </c:strCache>
            </c:strRef>
          </c:tx>
          <c:spPr>
            <a:solidFill>
              <a:schemeClr val="accent1"/>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 dat'!$C$5:$V$5</c15:sqref>
                  </c15:fullRef>
                </c:ext>
              </c:extLst>
              <c:f>'33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'33 dat'!$C$6:$V$6</c15:sqref>
                  </c15:fullRef>
                </c:ext>
              </c:extLst>
              <c:f>'33 dat'!$Q$6:$V$6</c:f>
              <c:numCache>
                <c:formatCode>0.0%</c:formatCode>
                <c:ptCount val="6"/>
                <c:pt idx="0">
                  <c:v>0.38840580371720268</c:v>
                </c:pt>
                <c:pt idx="1">
                  <c:v>0.38242990463091175</c:v>
                </c:pt>
                <c:pt idx="2">
                  <c:v>0.39871619686922394</c:v>
                </c:pt>
                <c:pt idx="3">
                  <c:v>0.39507439985484083</c:v>
                </c:pt>
                <c:pt idx="4">
                  <c:v>0.38994789769730936</c:v>
                </c:pt>
                <c:pt idx="5">
                  <c:v>0.43756892604206549</c:v>
                </c:pt>
              </c:numCache>
            </c:numRef>
          </c:val>
          <c:extLst>
            <c:ext xmlns:c16="http://schemas.microsoft.com/office/drawing/2014/chart" uri="{C3380CC4-5D6E-409C-BE32-E72D297353CC}">
              <c16:uniqueId val="{00000000-5DA5-40A3-8EC5-9BB7196D16E0}"/>
            </c:ext>
          </c:extLst>
        </c:ser>
        <c:ser>
          <c:idx val="1"/>
          <c:order val="1"/>
          <c:tx>
            <c:strRef>
              <c:f>'33 dat'!$B$7</c:f>
              <c:strCache>
                <c:ptCount val="1"/>
                <c:pt idx="0">
                  <c:v>IVA</c:v>
                </c:pt>
              </c:strCache>
            </c:strRef>
          </c:tx>
          <c:spPr>
            <a:solidFill>
              <a:schemeClr val="accent2"/>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 dat'!$C$5:$V$5</c15:sqref>
                  </c15:fullRef>
                </c:ext>
              </c:extLst>
              <c:f>'33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'33 dat'!$C$7:$V$7</c15:sqref>
                  </c15:fullRef>
                </c:ext>
              </c:extLst>
              <c:f>'33 dat'!$Q$7:$V$7</c:f>
              <c:numCache>
                <c:formatCode>0.0%</c:formatCode>
                <c:ptCount val="6"/>
                <c:pt idx="0">
                  <c:v>0.47881185843500335</c:v>
                </c:pt>
                <c:pt idx="1">
                  <c:v>0.46971840189287167</c:v>
                </c:pt>
                <c:pt idx="2">
                  <c:v>0.43744203321316638</c:v>
                </c:pt>
                <c:pt idx="3">
                  <c:v>0.43379295404891199</c:v>
                </c:pt>
                <c:pt idx="4">
                  <c:v>0.44102547007460202</c:v>
                </c:pt>
                <c:pt idx="5">
                  <c:v>0.40934895600387294</c:v>
                </c:pt>
              </c:numCache>
            </c:numRef>
          </c:val>
          <c:extLst>
            <c:ext xmlns:c16="http://schemas.microsoft.com/office/drawing/2014/chart" uri="{C3380CC4-5D6E-409C-BE32-E72D297353CC}">
              <c16:uniqueId val="{00000001-5DA5-40A3-8EC5-9BB7196D16E0}"/>
            </c:ext>
          </c:extLst>
        </c:ser>
        <c:ser>
          <c:idx val="2"/>
          <c:order val="2"/>
          <c:tx>
            <c:strRef>
              <c:f>'33 dat'!$B$8</c:f>
              <c:strCache>
                <c:ptCount val="1"/>
                <c:pt idx="0">
                  <c:v>Aranceles</c:v>
                </c:pt>
              </c:strCache>
            </c:strRef>
          </c:tx>
          <c:spPr>
            <a:solidFill>
              <a:schemeClr val="accent3"/>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 dat'!$C$5:$V$5</c15:sqref>
                  </c15:fullRef>
                </c:ext>
              </c:extLst>
              <c:f>'33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'33 dat'!$C$8:$V$8</c15:sqref>
                  </c15:fullRef>
                </c:ext>
              </c:extLst>
              <c:f>'33 dat'!$Q$8:$V$8</c:f>
              <c:numCache>
                <c:formatCode>0.0%</c:formatCode>
                <c:ptCount val="6"/>
                <c:pt idx="0">
                  <c:v>4.5445435067612172E-2</c:v>
                </c:pt>
                <c:pt idx="1">
                  <c:v>4.715232594631559E-2</c:v>
                </c:pt>
                <c:pt idx="2">
                  <c:v>4.8720067135230485E-2</c:v>
                </c:pt>
                <c:pt idx="3">
                  <c:v>4.6970810146289142E-2</c:v>
                </c:pt>
                <c:pt idx="4">
                  <c:v>4.7684422423817853E-2</c:v>
                </c:pt>
                <c:pt idx="5">
                  <c:v>3.9944131770639373E-2</c:v>
                </c:pt>
              </c:numCache>
            </c:numRef>
          </c:val>
          <c:extLst>
            <c:ext xmlns:c16="http://schemas.microsoft.com/office/drawing/2014/chart" uri="{C3380CC4-5D6E-409C-BE32-E72D297353CC}">
              <c16:uniqueId val="{00000002-5DA5-40A3-8EC5-9BB7196D16E0}"/>
            </c:ext>
          </c:extLst>
        </c:ser>
        <c:ser>
          <c:idx val="3"/>
          <c:order val="3"/>
          <c:tx>
            <c:strRef>
              <c:f>'33 dat'!$B$9</c:f>
              <c:strCache>
                <c:ptCount val="1"/>
                <c:pt idx="0">
                  <c:v>Impuestos Específicos</c:v>
                </c:pt>
              </c:strCache>
            </c:strRef>
          </c:tx>
          <c:spPr>
            <a:solidFill>
              <a:schemeClr val="accent4"/>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 dat'!$C$5:$V$5</c15:sqref>
                  </c15:fullRef>
                </c:ext>
              </c:extLst>
              <c:f>'33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'33 dat'!$C$9:$V$9</c15:sqref>
                  </c15:fullRef>
                </c:ext>
              </c:extLst>
              <c:f>'33 dat'!$Q$9:$V$9</c:f>
              <c:numCache>
                <c:formatCode>0.0%</c:formatCode>
                <c:ptCount val="6"/>
                <c:pt idx="0">
                  <c:v>3.7449717108888336E-2</c:v>
                </c:pt>
                <c:pt idx="1">
                  <c:v>3.9419084951022809E-2</c:v>
                </c:pt>
                <c:pt idx="2">
                  <c:v>4.0149152010173647E-2</c:v>
                </c:pt>
                <c:pt idx="3">
                  <c:v>3.8595978689039107E-2</c:v>
                </c:pt>
                <c:pt idx="4">
                  <c:v>3.7316302570913312E-2</c:v>
                </c:pt>
                <c:pt idx="5">
                  <c:v>3.4768362788898187E-2</c:v>
                </c:pt>
              </c:numCache>
            </c:numRef>
          </c:val>
          <c:extLst>
            <c:ext xmlns:c16="http://schemas.microsoft.com/office/drawing/2014/chart" uri="{C3380CC4-5D6E-409C-BE32-E72D297353CC}">
              <c16:uniqueId val="{00000003-5DA5-40A3-8EC5-9BB7196D16E0}"/>
            </c:ext>
          </c:extLst>
        </c:ser>
        <c:ser>
          <c:idx val="4"/>
          <c:order val="4"/>
          <c:tx>
            <c:strRef>
              <c:f>'33 dat'!$B$10</c:f>
              <c:strCache>
                <c:ptCount val="1"/>
                <c:pt idx="0">
                  <c:v>Otros</c:v>
                </c:pt>
              </c:strCache>
            </c:strRef>
          </c:tx>
          <c:spPr>
            <a:solidFill>
              <a:schemeClr val="accent5"/>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 dat'!$C$5:$V$5</c15:sqref>
                  </c15:fullRef>
                </c:ext>
              </c:extLst>
              <c:f>'33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'33 dat'!$C$10:$V$10</c15:sqref>
                  </c15:fullRef>
                </c:ext>
              </c:extLst>
              <c:f>'33 dat'!$Q$10:$V$10</c:f>
              <c:numCache>
                <c:formatCode>0.0%</c:formatCode>
                <c:ptCount val="6"/>
                <c:pt idx="0">
                  <c:v>1.9689215527574043E-2</c:v>
                </c:pt>
                <c:pt idx="1">
                  <c:v>2.912181703166453E-2</c:v>
                </c:pt>
                <c:pt idx="2">
                  <c:v>2.8857851779678565E-2</c:v>
                </c:pt>
                <c:pt idx="3">
                  <c:v>2.736724978950018E-2</c:v>
                </c:pt>
                <c:pt idx="4">
                  <c:v>2.73482934008915E-2</c:v>
                </c:pt>
                <c:pt idx="5">
                  <c:v>1.1494948194160385E-2</c:v>
                </c:pt>
              </c:numCache>
            </c:numRef>
          </c:val>
          <c:extLst>
            <c:ext xmlns:c16="http://schemas.microsoft.com/office/drawing/2014/chart" uri="{C3380CC4-5D6E-409C-BE32-E72D297353CC}">
              <c16:uniqueId val="{00000004-5DA5-40A3-8EC5-9BB7196D16E0}"/>
            </c:ext>
          </c:extLst>
        </c:ser>
        <c:ser>
          <c:idx val="5"/>
          <c:order val="5"/>
          <c:tx>
            <c:strRef>
              <c:f>'33 dat'!$B$11</c:f>
              <c:strCache>
                <c:ptCount val="1"/>
                <c:pt idx="0">
                  <c:v>Contribuciones especiales</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'33 dat'!$C$5:$V$5</c15:sqref>
                  </c15:fullRef>
                </c:ext>
              </c:extLst>
              <c:f>'33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'33 dat'!$C$11:$V$11</c15:sqref>
                  </c15:fullRef>
                </c:ext>
              </c:extLst>
              <c:f>'33 dat'!$Q$11:$V$11</c:f>
              <c:numCache>
                <c:formatCode>#,##0.0</c:formatCode>
                <c:ptCount val="6"/>
                <c:pt idx="0" formatCode="0.0%">
                  <c:v>3.019797014371927E-2</c:v>
                </c:pt>
                <c:pt idx="1" formatCode="0.0%">
                  <c:v>3.2158465547213612E-2</c:v>
                </c:pt>
                <c:pt idx="2" formatCode="0.0%">
                  <c:v>4.6114698992526938E-2</c:v>
                </c:pt>
                <c:pt idx="3" formatCode="0.0%">
                  <c:v>5.8198607471418813E-2</c:v>
                </c:pt>
                <c:pt idx="4" formatCode="0.0%">
                  <c:v>5.667761383246573E-2</c:v>
                </c:pt>
                <c:pt idx="5" formatCode="0.0%">
                  <c:v>6.6874675200363456E-2</c:v>
                </c:pt>
              </c:numCache>
            </c:numRef>
          </c:val>
          <c:extLst>
            <c:ext xmlns:c16="http://schemas.microsoft.com/office/drawing/2014/chart" uri="{C3380CC4-5D6E-409C-BE32-E72D297353CC}">
              <c16:uniqueId val="{00000005-5DA5-40A3-8EC5-9BB7196D16E0}"/>
            </c:ext>
          </c:extLst>
        </c:ser>
        <c:dLbls>
          <c:showLegendKey val="0"/>
          <c:showVal val="0"/>
          <c:showCatName val="0"/>
          <c:showSerName val="0"/>
          <c:showPercent val="0"/>
          <c:showBubbleSize val="0"/>
        </c:dLbls>
        <c:gapWidth val="70"/>
        <c:overlap val="100"/>
        <c:axId val="518786272"/>
        <c:axId val="518786664"/>
      </c:barChart>
      <c:catAx>
        <c:axId val="5187862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18786664"/>
        <c:crosses val="autoZero"/>
        <c:auto val="1"/>
        <c:lblAlgn val="ctr"/>
        <c:lblOffset val="100"/>
        <c:noMultiLvlLbl val="0"/>
      </c:catAx>
      <c:valAx>
        <c:axId val="518786664"/>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1878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Ingresos Tributarios por Fuente, 2014 - a junio 2019</a:t>
            </a:r>
          </a:p>
          <a:p>
            <a:pPr>
              <a:defRPr/>
            </a:pPr>
            <a:r>
              <a:rPr lang="es-SV" sz="1200" b="1" i="0" baseline="0">
                <a:solidFill>
                  <a:schemeClr val="tx1"/>
                </a:solidFill>
              </a:rPr>
              <a:t>(En millones de 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'34 dat'!$B$6</c:f>
              <c:strCache>
                <c:ptCount val="1"/>
                <c:pt idx="0">
                  <c:v>Renta</c:v>
                </c:pt>
              </c:strCache>
            </c:strRef>
          </c:tx>
          <c:spPr>
            <a:solidFill>
              <a:srgbClr val="820000"/>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 dat'!$C$5:$V$5</c15:sqref>
                  </c15:fullRef>
                </c:ext>
              </c:extLst>
              <c:f>'34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'34 dat'!$C$6:$V$6</c15:sqref>
                  </c15:fullRef>
                </c:ext>
              </c:extLst>
              <c:f>'34 dat'!$Q$6:$V$6</c:f>
              <c:numCache>
                <c:formatCode>#,##0.0</c:formatCode>
                <c:ptCount val="6"/>
                <c:pt idx="0">
                  <c:v>1549.3570559300001</c:v>
                </c:pt>
                <c:pt idx="1">
                  <c:v>1574.8667999999998</c:v>
                </c:pt>
                <c:pt idx="2">
                  <c:v>1689.7566837499999</c:v>
                </c:pt>
                <c:pt idx="3">
                  <c:v>1773.16475186</c:v>
                </c:pt>
                <c:pt idx="4">
                  <c:v>1859.7792688</c:v>
                </c:pt>
                <c:pt idx="5">
                  <c:v>1179.39369164</c:v>
                </c:pt>
              </c:numCache>
            </c:numRef>
          </c:val>
          <c:extLst>
            <c:ext xmlns:c16="http://schemas.microsoft.com/office/drawing/2014/chart" uri="{C3380CC4-5D6E-409C-BE32-E72D297353CC}">
              <c16:uniqueId val="{00000000-E5BA-4013-B1BF-EA14AC3F9F42}"/>
            </c:ext>
          </c:extLst>
        </c:ser>
        <c:ser>
          <c:idx val="1"/>
          <c:order val="1"/>
          <c:tx>
            <c:strRef>
              <c:f>'34 dat'!$B$7</c:f>
              <c:strCache>
                <c:ptCount val="1"/>
                <c:pt idx="0">
                  <c:v>IVA</c:v>
                </c:pt>
              </c:strCache>
            </c:strRef>
          </c:tx>
          <c:spPr>
            <a:solidFill>
              <a:schemeClr val="accent1">
                <a:lumMod val="50000"/>
              </a:schemeClr>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 dat'!$C$5:$V$5</c15:sqref>
                  </c15:fullRef>
                </c:ext>
              </c:extLst>
              <c:f>'34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'34 dat'!$C$7:$V$7</c15:sqref>
                  </c15:fullRef>
                </c:ext>
              </c:extLst>
              <c:f>'34 dat'!$Q$7:$V$7</c:f>
              <c:numCache>
                <c:formatCode>#,##0.0</c:formatCode>
                <c:ptCount val="6"/>
                <c:pt idx="0">
                  <c:v>1909.9882757399998</c:v>
                </c:pt>
                <c:pt idx="1">
                  <c:v>1934.3254999999999</c:v>
                </c:pt>
                <c:pt idx="2">
                  <c:v>1853.8765296699999</c:v>
                </c:pt>
                <c:pt idx="3">
                  <c:v>1946.9405661500002</c:v>
                </c:pt>
                <c:pt idx="4">
                  <c:v>2103.383634329</c:v>
                </c:pt>
                <c:pt idx="5">
                  <c:v>1103.33149284</c:v>
                </c:pt>
              </c:numCache>
            </c:numRef>
          </c:val>
          <c:extLst>
            <c:ext xmlns:c16="http://schemas.microsoft.com/office/drawing/2014/chart" uri="{C3380CC4-5D6E-409C-BE32-E72D297353CC}">
              <c16:uniqueId val="{00000001-E5BA-4013-B1BF-EA14AC3F9F42}"/>
            </c:ext>
          </c:extLst>
        </c:ser>
        <c:ser>
          <c:idx val="2"/>
          <c:order val="2"/>
          <c:tx>
            <c:strRef>
              <c:f>'34 dat'!$B$8</c:f>
              <c:strCache>
                <c:ptCount val="1"/>
                <c:pt idx="0">
                  <c:v>Aranceles</c:v>
                </c:pt>
              </c:strCache>
            </c:strRef>
          </c:tx>
          <c:spPr>
            <a:solidFill>
              <a:schemeClr val="accent3"/>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 dat'!$C$5:$V$5</c15:sqref>
                  </c15:fullRef>
                </c:ext>
              </c:extLst>
              <c:f>'34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'34 dat'!$C$8:$V$8</c15:sqref>
                  </c15:fullRef>
                </c:ext>
              </c:extLst>
              <c:f>'34 dat'!$Q$8:$V$8</c:f>
              <c:numCache>
                <c:formatCode>#,##0.0</c:formatCode>
                <c:ptCount val="6"/>
                <c:pt idx="0">
                  <c:v>181.28257818999998</c:v>
                </c:pt>
                <c:pt idx="1">
                  <c:v>194.17580000000001</c:v>
                </c:pt>
                <c:pt idx="2">
                  <c:v>206.47533188</c:v>
                </c:pt>
                <c:pt idx="3">
                  <c:v>210.81341880999997</c:v>
                </c:pt>
                <c:pt idx="4">
                  <c:v>227.42140884</c:v>
                </c:pt>
                <c:pt idx="5">
                  <c:v>107.66271146</c:v>
                </c:pt>
              </c:numCache>
            </c:numRef>
          </c:val>
          <c:extLst>
            <c:ext xmlns:c16="http://schemas.microsoft.com/office/drawing/2014/chart" uri="{C3380CC4-5D6E-409C-BE32-E72D297353CC}">
              <c16:uniqueId val="{00000002-E5BA-4013-B1BF-EA14AC3F9F42}"/>
            </c:ext>
          </c:extLst>
        </c:ser>
        <c:ser>
          <c:idx val="3"/>
          <c:order val="3"/>
          <c:tx>
            <c:strRef>
              <c:f>'34 dat'!$B$9</c:f>
              <c:strCache>
                <c:ptCount val="1"/>
                <c:pt idx="0">
                  <c:v>Impuestos Específicos</c:v>
                </c:pt>
              </c:strCache>
            </c:strRef>
          </c:tx>
          <c:spPr>
            <a:solidFill>
              <a:schemeClr val="accent4"/>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 dat'!$C$5:$V$5</c15:sqref>
                  </c15:fullRef>
                </c:ext>
              </c:extLst>
              <c:f>'34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'34 dat'!$C$9:$V$9</c15:sqref>
                  </c15:fullRef>
                </c:ext>
              </c:extLst>
              <c:f>'34 dat'!$Q$9:$V$9</c:f>
              <c:numCache>
                <c:formatCode>#,##0.0</c:formatCode>
                <c:ptCount val="6"/>
                <c:pt idx="0">
                  <c:v>149.38752946</c:v>
                </c:pt>
                <c:pt idx="1">
                  <c:v>162.32990000000001</c:v>
                </c:pt>
                <c:pt idx="2">
                  <c:v>170.15184858000001</c:v>
                </c:pt>
                <c:pt idx="3">
                  <c:v>173.22567344300003</c:v>
                </c:pt>
                <c:pt idx="4">
                  <c:v>177.97271461</c:v>
                </c:pt>
                <c:pt idx="5">
                  <c:v>93.712293769999988</c:v>
                </c:pt>
              </c:numCache>
            </c:numRef>
          </c:val>
          <c:extLst>
            <c:ext xmlns:c16="http://schemas.microsoft.com/office/drawing/2014/chart" uri="{C3380CC4-5D6E-409C-BE32-E72D297353CC}">
              <c16:uniqueId val="{00000003-E5BA-4013-B1BF-EA14AC3F9F42}"/>
            </c:ext>
          </c:extLst>
        </c:ser>
        <c:ser>
          <c:idx val="4"/>
          <c:order val="4"/>
          <c:tx>
            <c:strRef>
              <c:f>'34 dat'!$B$10</c:f>
              <c:strCache>
                <c:ptCount val="1"/>
                <c:pt idx="0">
                  <c:v>Otros</c:v>
                </c:pt>
              </c:strCache>
            </c:strRef>
          </c:tx>
          <c:spPr>
            <a:solidFill>
              <a:schemeClr val="accent5"/>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 dat'!$C$5:$V$5</c15:sqref>
                  </c15:fullRef>
                </c:ext>
              </c:extLst>
              <c:f>'34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'34 dat'!$C$10:$V$10</c15:sqref>
                  </c15:fullRef>
                </c:ext>
              </c:extLst>
              <c:f>'34 dat'!$Q$10:$V$10</c:f>
              <c:numCache>
                <c:formatCode>#,##0.0</c:formatCode>
                <c:ptCount val="6"/>
                <c:pt idx="0">
                  <c:v>78.540600350000005</c:v>
                </c:pt>
                <c:pt idx="1">
                  <c:v>119.92519999999999</c:v>
                </c:pt>
                <c:pt idx="2">
                  <c:v>122.29939066</c:v>
                </c:pt>
                <c:pt idx="3">
                  <c:v>122.82912459000001</c:v>
                </c:pt>
                <c:pt idx="4">
                  <c:v>130.43226904000002</c:v>
                </c:pt>
                <c:pt idx="5">
                  <c:v>30.982705989999999</c:v>
                </c:pt>
              </c:numCache>
            </c:numRef>
          </c:val>
          <c:extLst>
            <c:ext xmlns:c16="http://schemas.microsoft.com/office/drawing/2014/chart" uri="{C3380CC4-5D6E-409C-BE32-E72D297353CC}">
              <c16:uniqueId val="{00000004-E5BA-4013-B1BF-EA14AC3F9F42}"/>
            </c:ext>
          </c:extLst>
        </c:ser>
        <c:ser>
          <c:idx val="5"/>
          <c:order val="5"/>
          <c:tx>
            <c:strRef>
              <c:f>'34 dat'!$B$11</c:f>
              <c:strCache>
                <c:ptCount val="1"/>
                <c:pt idx="0">
                  <c:v>Contribuciones especiales</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'34 dat'!$C$5:$V$5</c15:sqref>
                  </c15:fullRef>
                </c:ext>
              </c:extLst>
              <c:f>'34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'34 dat'!$C$11:$V$11</c15:sqref>
                  </c15:fullRef>
                </c:ext>
              </c:extLst>
              <c:f>'34 dat'!$Q$11:$V$11</c:f>
              <c:numCache>
                <c:formatCode>#,##0.0</c:formatCode>
                <c:ptCount val="6"/>
                <c:pt idx="0">
                  <c:v>120.4601931</c:v>
                </c:pt>
                <c:pt idx="1">
                  <c:v>132.43028099</c:v>
                </c:pt>
                <c:pt idx="2">
                  <c:v>195.43379841000001</c:v>
                </c:pt>
                <c:pt idx="3">
                  <c:v>261.20578659</c:v>
                </c:pt>
                <c:pt idx="4">
                  <c:v>270.31265416000008</c:v>
                </c:pt>
                <c:pt idx="5">
                  <c:v>180.24947698</c:v>
                </c:pt>
              </c:numCache>
            </c:numRef>
          </c:val>
          <c:extLst>
            <c:ext xmlns:c16="http://schemas.microsoft.com/office/drawing/2014/chart" uri="{C3380CC4-5D6E-409C-BE32-E72D297353CC}">
              <c16:uniqueId val="{00000005-E5BA-4013-B1BF-EA14AC3F9F42}"/>
            </c:ext>
          </c:extLst>
        </c:ser>
        <c:dLbls>
          <c:showLegendKey val="0"/>
          <c:showVal val="0"/>
          <c:showCatName val="0"/>
          <c:showSerName val="0"/>
          <c:showPercent val="0"/>
          <c:showBubbleSize val="0"/>
        </c:dLbls>
        <c:gapWidth val="50"/>
        <c:axId val="518787448"/>
        <c:axId val="518787056"/>
      </c:barChart>
      <c:catAx>
        <c:axId val="51878744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18787056"/>
        <c:crosses val="autoZero"/>
        <c:auto val="1"/>
        <c:lblAlgn val="ctr"/>
        <c:lblOffset val="100"/>
        <c:noMultiLvlLbl val="0"/>
      </c:catAx>
      <c:valAx>
        <c:axId val="518787056"/>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18787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Gasto Público por Areas de Gestión, Gobierno Central 2014 - a junio 2019</a:t>
            </a:r>
          </a:p>
          <a:p>
            <a:pPr>
              <a:defRPr/>
            </a:pPr>
            <a:r>
              <a:rPr lang="es-SV" sz="1200" b="1" i="0" baseline="0">
                <a:solidFill>
                  <a:schemeClr val="tx1"/>
                </a:solidFill>
              </a:rPr>
              <a:t>(En millones de 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stacked"/>
        <c:varyColors val="0"/>
        <c:ser>
          <c:idx val="0"/>
          <c:order val="0"/>
          <c:tx>
            <c:strRef>
              <c:f>'46 dat'!$B$6</c:f>
              <c:strCache>
                <c:ptCount val="1"/>
                <c:pt idx="0">
                  <c:v>Desarrollo Social</c:v>
                </c:pt>
              </c:strCache>
            </c:strRef>
          </c:tx>
          <c:spPr>
            <a:solidFill>
              <a:schemeClr val="accent1"/>
            </a:solidFill>
            <a:ln>
              <a:noFill/>
            </a:ln>
            <a:effectLst/>
            <a:scene3d>
              <a:camera prst="orthographicFront"/>
              <a:lightRig rig="threePt" dir="t">
                <a:rot lat="0" lon="0" rev="1200000"/>
              </a:lightRig>
            </a:scene3d>
            <a:sp3d>
              <a:bevelT w="63500" h="25400"/>
            </a:sp3d>
          </c:spPr>
          <c:invertIfNegative val="0"/>
          <c:cat>
            <c:strRef>
              <c:extLst>
                <c:ext xmlns:c15="http://schemas.microsoft.com/office/drawing/2012/chart" uri="{02D57815-91ED-43cb-92C2-25804820EDAC}">
                  <c15:fullRef>
                    <c15:sqref>'46 dat'!$C$5:$V$5</c15:sqref>
                  </c15:fullRef>
                </c:ext>
              </c:extLst>
              <c:f>'46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'46 dat'!$C$6:$V$6</c15:sqref>
                  </c15:fullRef>
                </c:ext>
              </c:extLst>
              <c:f>'46 dat'!$Q$6:$V$6</c:f>
              <c:numCache>
                <c:formatCode>General</c:formatCode>
                <c:ptCount val="6"/>
                <c:pt idx="0" formatCode="#,##0.0">
                  <c:v>2115.5</c:v>
                </c:pt>
                <c:pt idx="1" formatCode="#,##0.0">
                  <c:v>2223.9</c:v>
                </c:pt>
                <c:pt idx="2" formatCode="#,##0.0">
                  <c:v>2212.9</c:v>
                </c:pt>
                <c:pt idx="3" formatCode="#,##0.0">
                  <c:v>2283.6</c:v>
                </c:pt>
                <c:pt idx="4" formatCode="#,##0.0">
                  <c:v>2330.1</c:v>
                </c:pt>
                <c:pt idx="5" formatCode="#,##0.0">
                  <c:v>1265.4000000000001</c:v>
                </c:pt>
              </c:numCache>
            </c:numRef>
          </c:val>
          <c:extLst>
            <c:ext xmlns:c16="http://schemas.microsoft.com/office/drawing/2014/chart" uri="{C3380CC4-5D6E-409C-BE32-E72D297353CC}">
              <c16:uniqueId val="{00000000-8A0A-4A81-A899-CD84E264D9A0}"/>
            </c:ext>
          </c:extLst>
        </c:ser>
        <c:ser>
          <c:idx val="1"/>
          <c:order val="1"/>
          <c:tx>
            <c:strRef>
              <c:f>'46 dat'!$B$7</c:f>
              <c:strCache>
                <c:ptCount val="1"/>
                <c:pt idx="0">
                  <c:v>Apoyo al Desarrollo Económico</c:v>
                </c:pt>
              </c:strCache>
            </c:strRef>
          </c:tx>
          <c:spPr>
            <a:solidFill>
              <a:schemeClr val="accent2"/>
            </a:solidFill>
            <a:ln>
              <a:noFill/>
            </a:ln>
            <a:effectLst/>
            <a:scene3d>
              <a:camera prst="orthographicFront"/>
              <a:lightRig rig="threePt" dir="t">
                <a:rot lat="0" lon="0" rev="1200000"/>
              </a:lightRig>
            </a:scene3d>
            <a:sp3d>
              <a:bevelT w="63500" h="25400"/>
            </a:sp3d>
          </c:spPr>
          <c:invertIfNegative val="0"/>
          <c:cat>
            <c:strRef>
              <c:extLst>
                <c:ext xmlns:c15="http://schemas.microsoft.com/office/drawing/2012/chart" uri="{02D57815-91ED-43cb-92C2-25804820EDAC}">
                  <c15:fullRef>
                    <c15:sqref>'46 dat'!$C$5:$V$5</c15:sqref>
                  </c15:fullRef>
                </c:ext>
              </c:extLst>
              <c:f>'46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'46 dat'!$C$7:$V$7</c15:sqref>
                  </c15:fullRef>
                </c:ext>
              </c:extLst>
              <c:f>'46 dat'!$Q$7:$V$7</c:f>
              <c:numCache>
                <c:formatCode>General</c:formatCode>
                <c:ptCount val="6"/>
                <c:pt idx="0" formatCode="#,##0.0">
                  <c:v>445.3</c:v>
                </c:pt>
                <c:pt idx="1" formatCode="#,##0.0">
                  <c:v>433.8</c:v>
                </c:pt>
                <c:pt idx="2" formatCode="#,##0.0">
                  <c:v>397.2</c:v>
                </c:pt>
                <c:pt idx="3" formatCode="#,##0.0">
                  <c:v>535.1</c:v>
                </c:pt>
                <c:pt idx="4" formatCode="#,##0.0">
                  <c:v>478.9</c:v>
                </c:pt>
                <c:pt idx="5" formatCode="#,##0.0">
                  <c:v>271.7</c:v>
                </c:pt>
              </c:numCache>
            </c:numRef>
          </c:val>
          <c:extLst>
            <c:ext xmlns:c16="http://schemas.microsoft.com/office/drawing/2014/chart" uri="{C3380CC4-5D6E-409C-BE32-E72D297353CC}">
              <c16:uniqueId val="{00000001-8A0A-4A81-A899-CD84E264D9A0}"/>
            </c:ext>
          </c:extLst>
        </c:ser>
        <c:ser>
          <c:idx val="2"/>
          <c:order val="2"/>
          <c:tx>
            <c:strRef>
              <c:f>'46 dat'!$B$8</c:f>
              <c:strCache>
                <c:ptCount val="1"/>
                <c:pt idx="0">
                  <c:v>Deuda Pública</c:v>
                </c:pt>
              </c:strCache>
            </c:strRef>
          </c:tx>
          <c:spPr>
            <a:solidFill>
              <a:schemeClr val="accent3"/>
            </a:solidFill>
            <a:ln>
              <a:noFill/>
            </a:ln>
            <a:effectLst/>
            <a:scene3d>
              <a:camera prst="orthographicFront"/>
              <a:lightRig rig="threePt" dir="t">
                <a:rot lat="0" lon="0" rev="1200000"/>
              </a:lightRig>
            </a:scene3d>
            <a:sp3d>
              <a:bevelT w="63500" h="25400"/>
            </a:sp3d>
          </c:spPr>
          <c:invertIfNegative val="0"/>
          <c:cat>
            <c:strRef>
              <c:extLst>
                <c:ext xmlns:c15="http://schemas.microsoft.com/office/drawing/2012/chart" uri="{02D57815-91ED-43cb-92C2-25804820EDAC}">
                  <c15:fullRef>
                    <c15:sqref>'46 dat'!$C$5:$V$5</c15:sqref>
                  </c15:fullRef>
                </c:ext>
              </c:extLst>
              <c:f>'46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'46 dat'!$C$8:$V$8</c15:sqref>
                  </c15:fullRef>
                </c:ext>
              </c:extLst>
              <c:f>'46 dat'!$Q$8:$V$8</c:f>
              <c:numCache>
                <c:formatCode>General</c:formatCode>
                <c:ptCount val="6"/>
                <c:pt idx="0" formatCode="#,##0.0">
                  <c:v>1953.1</c:v>
                </c:pt>
                <c:pt idx="1" formatCode="#,##0.0">
                  <c:v>793.7</c:v>
                </c:pt>
                <c:pt idx="2" formatCode="#,##0.0">
                  <c:v>889</c:v>
                </c:pt>
                <c:pt idx="3" formatCode="#,##0.0">
                  <c:v>969.5</c:v>
                </c:pt>
                <c:pt idx="4" formatCode="#,##0.0">
                  <c:v>1017.6</c:v>
                </c:pt>
                <c:pt idx="5" formatCode="#,##0.0">
                  <c:v>521.4</c:v>
                </c:pt>
              </c:numCache>
            </c:numRef>
          </c:val>
          <c:extLst>
            <c:ext xmlns:c16="http://schemas.microsoft.com/office/drawing/2014/chart" uri="{C3380CC4-5D6E-409C-BE32-E72D297353CC}">
              <c16:uniqueId val="{00000002-8A0A-4A81-A899-CD84E264D9A0}"/>
            </c:ext>
          </c:extLst>
        </c:ser>
        <c:ser>
          <c:idx val="3"/>
          <c:order val="3"/>
          <c:tx>
            <c:strRef>
              <c:f>'46 dat'!$B$9</c:f>
              <c:strCache>
                <c:ptCount val="1"/>
                <c:pt idx="0">
                  <c:v>Conducción Administrativa</c:v>
                </c:pt>
              </c:strCache>
            </c:strRef>
          </c:tx>
          <c:spPr>
            <a:solidFill>
              <a:schemeClr val="accent4"/>
            </a:solidFill>
            <a:ln>
              <a:noFill/>
            </a:ln>
            <a:effectLst/>
            <a:scene3d>
              <a:camera prst="orthographicFront"/>
              <a:lightRig rig="threePt" dir="t">
                <a:rot lat="0" lon="0" rev="1200000"/>
              </a:lightRig>
            </a:scene3d>
            <a:sp3d>
              <a:bevelT w="63500" h="25400"/>
            </a:sp3d>
          </c:spPr>
          <c:invertIfNegative val="0"/>
          <c:cat>
            <c:strRef>
              <c:extLst>
                <c:ext xmlns:c15="http://schemas.microsoft.com/office/drawing/2012/chart" uri="{02D57815-91ED-43cb-92C2-25804820EDAC}">
                  <c15:fullRef>
                    <c15:sqref>'46 dat'!$C$5:$V$5</c15:sqref>
                  </c15:fullRef>
                </c:ext>
              </c:extLst>
              <c:f>'46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'46 dat'!$C$9:$V$9</c15:sqref>
                  </c15:fullRef>
                </c:ext>
              </c:extLst>
              <c:f>'46 dat'!$Q$9:$V$9</c:f>
              <c:numCache>
                <c:formatCode>General</c:formatCode>
                <c:ptCount val="6"/>
                <c:pt idx="0" formatCode="#,##0.0">
                  <c:v>486.8</c:v>
                </c:pt>
                <c:pt idx="1" formatCode="#,##0.0">
                  <c:v>493.8</c:v>
                </c:pt>
                <c:pt idx="2" formatCode="#,##0.0">
                  <c:v>476.4</c:v>
                </c:pt>
                <c:pt idx="3" formatCode="#,##0.0">
                  <c:v>510.4</c:v>
                </c:pt>
                <c:pt idx="4" formatCode="#,##0.0">
                  <c:v>538.4</c:v>
                </c:pt>
                <c:pt idx="5" formatCode="#,##0.0">
                  <c:v>253.1</c:v>
                </c:pt>
              </c:numCache>
            </c:numRef>
          </c:val>
          <c:extLst>
            <c:ext xmlns:c16="http://schemas.microsoft.com/office/drawing/2014/chart" uri="{C3380CC4-5D6E-409C-BE32-E72D297353CC}">
              <c16:uniqueId val="{00000003-8A0A-4A81-A899-CD84E264D9A0}"/>
            </c:ext>
          </c:extLst>
        </c:ser>
        <c:ser>
          <c:idx val="4"/>
          <c:order val="4"/>
          <c:tx>
            <c:strRef>
              <c:f>'46 dat'!$B$10</c:f>
              <c:strCache>
                <c:ptCount val="1"/>
                <c:pt idx="0">
                  <c:v>Admon, Justicia y Seg. Ciudadana</c:v>
                </c:pt>
              </c:strCache>
            </c:strRef>
          </c:tx>
          <c:spPr>
            <a:solidFill>
              <a:schemeClr val="accent5"/>
            </a:solidFill>
            <a:ln>
              <a:noFill/>
            </a:ln>
            <a:effectLst/>
            <a:scene3d>
              <a:camera prst="orthographicFront"/>
              <a:lightRig rig="threePt" dir="t">
                <a:rot lat="0" lon="0" rev="1200000"/>
              </a:lightRig>
            </a:scene3d>
            <a:sp3d>
              <a:bevelT w="63500" h="25400"/>
            </a:sp3d>
          </c:spPr>
          <c:invertIfNegative val="0"/>
          <c:cat>
            <c:strRef>
              <c:extLst>
                <c:ext xmlns:c15="http://schemas.microsoft.com/office/drawing/2012/chart" uri="{02D57815-91ED-43cb-92C2-25804820EDAC}">
                  <c15:fullRef>
                    <c15:sqref>'46 dat'!$C$5:$V$5</c15:sqref>
                  </c15:fullRef>
                </c:ext>
              </c:extLst>
              <c:f>'46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'46 dat'!$C$10:$V$10</c15:sqref>
                  </c15:fullRef>
                </c:ext>
              </c:extLst>
              <c:f>'46 dat'!$Q$10:$V$10</c:f>
              <c:numCache>
                <c:formatCode>General</c:formatCode>
                <c:ptCount val="6"/>
                <c:pt idx="0" formatCode="#,##0.0">
                  <c:v>683.2</c:v>
                </c:pt>
                <c:pt idx="1" formatCode="#,##0.0">
                  <c:v>792.9</c:v>
                </c:pt>
                <c:pt idx="2" formatCode="#,##0.0">
                  <c:v>796.6</c:v>
                </c:pt>
                <c:pt idx="3" formatCode="#,##0.0">
                  <c:v>844.8</c:v>
                </c:pt>
                <c:pt idx="4" formatCode="#,##0.0">
                  <c:v>831.6</c:v>
                </c:pt>
                <c:pt idx="5" formatCode="#,##0.0">
                  <c:v>403.8</c:v>
                </c:pt>
              </c:numCache>
            </c:numRef>
          </c:val>
          <c:extLst>
            <c:ext xmlns:c16="http://schemas.microsoft.com/office/drawing/2014/chart" uri="{C3380CC4-5D6E-409C-BE32-E72D297353CC}">
              <c16:uniqueId val="{00000004-8A0A-4A81-A899-CD84E264D9A0}"/>
            </c:ext>
          </c:extLst>
        </c:ser>
        <c:ser>
          <c:idx val="5"/>
          <c:order val="5"/>
          <c:tx>
            <c:strRef>
              <c:f>'46 dat'!$B$11</c:f>
              <c:strCache>
                <c:ptCount val="1"/>
                <c:pt idx="0">
                  <c:v>Oblig. Grales. del Estado</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cat>
            <c:strRef>
              <c:extLst>
                <c:ext xmlns:c15="http://schemas.microsoft.com/office/drawing/2012/chart" uri="{02D57815-91ED-43cb-92C2-25804820EDAC}">
                  <c15:fullRef>
                    <c15:sqref>'46 dat'!$C$5:$V$5</c15:sqref>
                  </c15:fullRef>
                </c:ext>
              </c:extLst>
              <c:f>'46 dat'!$Q$5:$V$5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'46 dat'!$C$11:$V$11</c15:sqref>
                  </c15:fullRef>
                </c:ext>
              </c:extLst>
              <c:f>'46 dat'!$Q$11:$V$11</c:f>
              <c:numCache>
                <c:formatCode>General</c:formatCode>
                <c:ptCount val="6"/>
                <c:pt idx="0" formatCode="#,##0.0">
                  <c:v>58</c:v>
                </c:pt>
                <c:pt idx="1" formatCode="#,##0.0">
                  <c:v>37.799999999999997</c:v>
                </c:pt>
                <c:pt idx="2" formatCode="#,##0.0">
                  <c:v>32.799999999999997</c:v>
                </c:pt>
                <c:pt idx="3" formatCode="#,##0.0">
                  <c:v>80</c:v>
                </c:pt>
                <c:pt idx="4" formatCode="#,##0.0">
                  <c:v>88.2</c:v>
                </c:pt>
                <c:pt idx="5" formatCode="#,##0.0">
                  <c:v>47</c:v>
                </c:pt>
              </c:numCache>
            </c:numRef>
          </c:val>
          <c:extLst>
            <c:ext xmlns:c16="http://schemas.microsoft.com/office/drawing/2014/chart" uri="{C3380CC4-5D6E-409C-BE32-E72D297353CC}">
              <c16:uniqueId val="{00000005-8A0A-4A81-A899-CD84E264D9A0}"/>
            </c:ext>
          </c:extLst>
        </c:ser>
        <c:dLbls>
          <c:showLegendKey val="0"/>
          <c:showVal val="0"/>
          <c:showCatName val="0"/>
          <c:showSerName val="0"/>
          <c:showPercent val="0"/>
          <c:showBubbleSize val="0"/>
        </c:dLbls>
        <c:gapWidth val="60"/>
        <c:overlap val="100"/>
        <c:axId val="518785880"/>
        <c:axId val="518784704"/>
      </c:barChart>
      <c:catAx>
        <c:axId val="518785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18784704"/>
        <c:crosses val="autoZero"/>
        <c:auto val="1"/>
        <c:lblAlgn val="ctr"/>
        <c:lblOffset val="100"/>
        <c:noMultiLvlLbl val="0"/>
      </c:catAx>
      <c:valAx>
        <c:axId val="518784704"/>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518785880"/>
        <c:crosses val="autoZero"/>
        <c:crossBetween val="between"/>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050" b="1" i="0" u="none" strike="noStrike" kern="1200" baseline="0">
                <a:solidFill>
                  <a:schemeClr val="tx1"/>
                </a:solidFill>
                <a:latin typeface="+mn-lt"/>
                <a:ea typeface="+mn-ea"/>
                <a:cs typeface="+mn-cs"/>
              </a:defRPr>
            </a:pPr>
            <a:endParaRPr lang="es-S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b="1" i="0" baseline="0">
                <a:solidFill>
                  <a:schemeClr val="tx1"/>
                </a:solidFill>
              </a:rPr>
              <a:t>Inversión Pública Bruta del SPNF, 2014 - a junio 2019 (base caja)</a:t>
            </a:r>
          </a:p>
          <a:p>
            <a:pPr>
              <a:defRPr/>
            </a:pPr>
            <a:r>
              <a:rPr lang="es-SV" sz="1200" b="1" i="0" baseline="0">
                <a:solidFill>
                  <a:schemeClr val="tx1"/>
                </a:solidFill>
              </a:rPr>
              <a:t>(En millones de US$ y % del PIB en eje secundario)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'54 dat'!$B$5</c:f>
              <c:strCache>
                <c:ptCount val="1"/>
                <c:pt idx="0">
                  <c:v>Inversión</c:v>
                </c:pt>
              </c:strCache>
            </c:strRef>
          </c:tx>
          <c:spPr>
            <a:solidFill>
              <a:schemeClr val="accent2"/>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'54 dat'!$C$4:$V$4</c15:sqref>
                  </c15:fullRef>
                </c:ext>
              </c:extLst>
              <c:f>'54 dat'!$Q$4:$V$4</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'54 dat'!$C$5:$V$5</c15:sqref>
                  </c15:fullRef>
                </c:ext>
              </c:extLst>
              <c:f>'54 dat'!$Q$5:$V$5</c:f>
              <c:numCache>
                <c:formatCode>General</c:formatCode>
                <c:ptCount val="6"/>
                <c:pt idx="0" formatCode="#,##0.0">
                  <c:v>624.6</c:v>
                </c:pt>
                <c:pt idx="1" formatCode="#,##0.0">
                  <c:v>650.75</c:v>
                </c:pt>
                <c:pt idx="2" formatCode="#,##0.0">
                  <c:v>757.73</c:v>
                </c:pt>
                <c:pt idx="3" formatCode="#,##0.0">
                  <c:v>666.44801210500009</c:v>
                </c:pt>
                <c:pt idx="4" formatCode="#,##0.0">
                  <c:v>821.07786130739407</c:v>
                </c:pt>
                <c:pt idx="5" formatCode="#,##0.0">
                  <c:v>392.794641915</c:v>
                </c:pt>
              </c:numCache>
            </c:numRef>
          </c:val>
          <c:extLst>
            <c:ext xmlns:c16="http://schemas.microsoft.com/office/drawing/2014/chart" uri="{C3380CC4-5D6E-409C-BE32-E72D297353CC}">
              <c16:uniqueId val="{00000000-988F-4C66-988F-D82BB91A03D6}"/>
            </c:ext>
          </c:extLst>
        </c:ser>
        <c:dLbls>
          <c:showLegendKey val="0"/>
          <c:showVal val="0"/>
          <c:showCatName val="0"/>
          <c:showSerName val="0"/>
          <c:showPercent val="0"/>
          <c:showBubbleSize val="0"/>
        </c:dLbls>
        <c:gapWidth val="70"/>
        <c:overlap val="-27"/>
        <c:axId val="628290424"/>
        <c:axId val="637840392"/>
      </c:barChart>
      <c:lineChart>
        <c:grouping val="standard"/>
        <c:varyColors val="0"/>
        <c:ser>
          <c:idx val="1"/>
          <c:order val="1"/>
          <c:tx>
            <c:strRef>
              <c:f>'54 dat'!$B$6</c:f>
              <c:strCache>
                <c:ptCount val="1"/>
                <c:pt idx="0">
                  <c:v>% del PIB</c:v>
                </c:pt>
              </c:strCache>
            </c:strRef>
          </c:tx>
          <c:spPr>
            <a:ln w="28575" cap="rnd">
              <a:solidFill>
                <a:srgbClr val="002060"/>
              </a:solidFill>
              <a:round/>
            </a:ln>
            <a:effectLst/>
          </c:spPr>
          <c:marker>
            <c:symbol val="diamond"/>
            <c:size val="8"/>
            <c:spPr>
              <a:solidFill>
                <a:srgbClr val="002060"/>
              </a:solidFill>
              <a:ln w="9525">
                <a:solidFill>
                  <a:srgbClr val="002060"/>
                </a:solidFill>
              </a:ln>
              <a:effectLst/>
              <a:scene3d>
                <a:camera prst="orthographicFront"/>
                <a:lightRig rig="threePt" dir="t">
                  <a:rot lat="0" lon="0" rev="1200000"/>
                </a:lightRig>
              </a:scene3d>
              <a:sp3d>
                <a:bevelT w="63500" h="25400"/>
              </a:sp3d>
            </c:spPr>
          </c:marker>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SV"/>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'54 dat'!$C$4:$V$4</c15:sqref>
                  </c15:fullRef>
                </c:ext>
              </c:extLst>
              <c:f>'54 dat'!$Q$4:$V$4</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'54 dat'!$C$6:$V$6</c15:sqref>
                  </c15:fullRef>
                </c:ext>
              </c:extLst>
              <c:f>'54 dat'!$Q$6:$V$6</c:f>
              <c:numCache>
                <c:formatCode>0.0%</c:formatCode>
                <c:ptCount val="6"/>
                <c:pt idx="0">
                  <c:v>2.7645155879110202E-2</c:v>
                </c:pt>
                <c:pt idx="1">
                  <c:v>2.7764456716886592E-2</c:v>
                </c:pt>
                <c:pt idx="2">
                  <c:v>3.1370644581812372E-2</c:v>
                </c:pt>
                <c:pt idx="3" formatCode="0.00%">
                  <c:v>2.6734949219892355E-2</c:v>
                </c:pt>
                <c:pt idx="4" formatCode="0.00%">
                  <c:v>3.1510908852205748E-2</c:v>
                </c:pt>
                <c:pt idx="5" formatCode="0.00%">
                  <c:v>1.4632111437825716E-2</c:v>
                </c:pt>
              </c:numCache>
            </c:numRef>
          </c:val>
          <c:smooth val="0"/>
          <c:extLst>
            <c:ext xmlns:c16="http://schemas.microsoft.com/office/drawing/2014/chart" uri="{C3380CC4-5D6E-409C-BE32-E72D297353CC}">
              <c16:uniqueId val="{00000001-988F-4C66-988F-D82BB91A03D6}"/>
            </c:ext>
          </c:extLst>
        </c:ser>
        <c:dLbls>
          <c:showLegendKey val="0"/>
          <c:showVal val="0"/>
          <c:showCatName val="0"/>
          <c:showSerName val="0"/>
          <c:showPercent val="0"/>
          <c:showBubbleSize val="0"/>
        </c:dLbls>
        <c:marker val="1"/>
        <c:smooth val="0"/>
        <c:axId val="637839216"/>
        <c:axId val="637838040"/>
      </c:lineChart>
      <c:catAx>
        <c:axId val="6282904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37840392"/>
        <c:crosses val="autoZero"/>
        <c:auto val="1"/>
        <c:lblAlgn val="ctr"/>
        <c:lblOffset val="100"/>
        <c:noMultiLvlLbl val="0"/>
      </c:catAx>
      <c:valAx>
        <c:axId val="637840392"/>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28290424"/>
        <c:crosses val="autoZero"/>
        <c:crossBetween val="between"/>
      </c:valAx>
      <c:valAx>
        <c:axId val="637838040"/>
        <c:scaling>
          <c:orientation val="minMax"/>
        </c:scaling>
        <c:delete val="0"/>
        <c:axPos val="r"/>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37839216"/>
        <c:crosses val="max"/>
        <c:crossBetween val="between"/>
      </c:valAx>
      <c:catAx>
        <c:axId val="637839216"/>
        <c:scaling>
          <c:orientation val="minMax"/>
        </c:scaling>
        <c:delete val="1"/>
        <c:axPos val="b"/>
        <c:numFmt formatCode="General" sourceLinked="1"/>
        <c:majorTickMark val="out"/>
        <c:minorTickMark val="none"/>
        <c:tickLblPos val="nextTo"/>
        <c:crossAx val="6378380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solidFill>
                <a:latin typeface="+mn-lt"/>
                <a:ea typeface="+mn-ea"/>
                <a:cs typeface="+mn-cs"/>
              </a:defRPr>
            </a:pPr>
            <a:r>
              <a:rPr lang="es-SV" sz="1400" baseline="0">
                <a:solidFill>
                  <a:schemeClr val="tx1"/>
                </a:solidFill>
              </a:rPr>
              <a:t>SPNF: Saldo de la Deuda, 2014 - a junio 2019</a:t>
            </a:r>
          </a:p>
          <a:p>
            <a:pPr>
              <a:defRPr/>
            </a:pPr>
            <a:r>
              <a:rPr lang="es-SV" sz="1200" baseline="0">
                <a:solidFill>
                  <a:schemeClr val="tx1"/>
                </a:solidFill>
              </a:rPr>
              <a:t>(En millones de US$ y en % del PIB en eje secundario)</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solidFill>
              <a:latin typeface="+mn-lt"/>
              <a:ea typeface="+mn-ea"/>
              <a:cs typeface="+mn-cs"/>
            </a:defRPr>
          </a:pPr>
          <a:endParaRPr lang="es-SV"/>
        </a:p>
      </c:txPr>
    </c:title>
    <c:autoTitleDeleted val="0"/>
    <c:plotArea>
      <c:layout/>
      <c:barChart>
        <c:barDir val="col"/>
        <c:grouping val="clustered"/>
        <c:varyColors val="0"/>
        <c:ser>
          <c:idx val="0"/>
          <c:order val="0"/>
          <c:tx>
            <c:strRef>
              <c:f>'60 dat'!$B$6</c:f>
              <c:strCache>
                <c:ptCount val="1"/>
                <c:pt idx="0">
                  <c:v>c/pensiones</c:v>
                </c:pt>
              </c:strCache>
            </c:strRef>
          </c:tx>
          <c:spPr>
            <a:solidFill>
              <a:schemeClr val="accent6"/>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'60 dat'!$C$5:$AF$5</c15:sqref>
                  </c15:fullRef>
                </c:ext>
              </c:extLst>
              <c:f>'60 dat'!$AA$5:$AF$5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'60 dat'!$C$6:$AF$6</c15:sqref>
                  </c15:fullRef>
                </c:ext>
              </c:extLst>
              <c:f>'60 dat'!$AA$6:$AF$6</c:f>
              <c:numCache>
                <c:formatCode>#,##0.0</c:formatCode>
                <c:ptCount val="6"/>
                <c:pt idx="0">
                  <c:v>14592.6</c:v>
                </c:pt>
                <c:pt idx="1">
                  <c:v>15506.54</c:v>
                </c:pt>
                <c:pt idx="2">
                  <c:v>16322.96</c:v>
                </c:pt>
                <c:pt idx="3">
                  <c:v>17290.782645460004</c:v>
                </c:pt>
                <c:pt idx="4">
                  <c:v>18084.194728559996</c:v>
                </c:pt>
                <c:pt idx="5">
                  <c:v>18388.523079900002</c:v>
                </c:pt>
              </c:numCache>
            </c:numRef>
          </c:val>
          <c:extLst>
            <c:ext xmlns:c16="http://schemas.microsoft.com/office/drawing/2014/chart" uri="{C3380CC4-5D6E-409C-BE32-E72D297353CC}">
              <c16:uniqueId val="{00000000-E431-4504-ABCE-C608820133B3}"/>
            </c:ext>
          </c:extLst>
        </c:ser>
        <c:ser>
          <c:idx val="1"/>
          <c:order val="1"/>
          <c:tx>
            <c:strRef>
              <c:f>'60 dat'!$B$7</c:f>
              <c:strCache>
                <c:ptCount val="1"/>
                <c:pt idx="0">
                  <c:v>s/pensiones</c:v>
                </c:pt>
              </c:strCache>
            </c:strRef>
          </c:tx>
          <c:spPr>
            <a:solidFill>
              <a:schemeClr val="accent1"/>
            </a:solidFill>
            <a:ln>
              <a:noFill/>
            </a:ln>
            <a:effectLst/>
            <a:scene3d>
              <a:camera prst="orthographicFront"/>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'60 dat'!$C$5:$AF$5</c15:sqref>
                  </c15:fullRef>
                </c:ext>
              </c:extLst>
              <c:f>'60 dat'!$AA$5:$AF$5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'60 dat'!$C$7:$AF$7</c15:sqref>
                  </c15:fullRef>
                </c:ext>
              </c:extLst>
              <c:f>'60 dat'!$AA$7:$AF$7</c:f>
              <c:numCache>
                <c:formatCode>#,##0.0</c:formatCode>
                <c:ptCount val="6"/>
                <c:pt idx="0">
                  <c:v>11552.6</c:v>
                </c:pt>
                <c:pt idx="1">
                  <c:v>12027.84</c:v>
                </c:pt>
                <c:pt idx="2">
                  <c:v>12307.06</c:v>
                </c:pt>
                <c:pt idx="3">
                  <c:v>12717.182645460003</c:v>
                </c:pt>
                <c:pt idx="4">
                  <c:v>13162.694728559996</c:v>
                </c:pt>
                <c:pt idx="5">
                  <c:v>13305.823079900001</c:v>
                </c:pt>
              </c:numCache>
            </c:numRef>
          </c:val>
          <c:extLst>
            <c:ext xmlns:c16="http://schemas.microsoft.com/office/drawing/2014/chart" uri="{C3380CC4-5D6E-409C-BE32-E72D297353CC}">
              <c16:uniqueId val="{00000001-E431-4504-ABCE-C608820133B3}"/>
            </c:ext>
          </c:extLst>
        </c:ser>
        <c:dLbls>
          <c:showLegendKey val="0"/>
          <c:showVal val="0"/>
          <c:showCatName val="0"/>
          <c:showSerName val="0"/>
          <c:showPercent val="0"/>
          <c:showBubbleSize val="0"/>
        </c:dLbls>
        <c:gapWidth val="60"/>
        <c:overlap val="-10"/>
        <c:axId val="637837256"/>
        <c:axId val="637835296"/>
      </c:barChart>
      <c:lineChart>
        <c:grouping val="standard"/>
        <c:varyColors val="0"/>
        <c:ser>
          <c:idx val="2"/>
          <c:order val="2"/>
          <c:tx>
            <c:strRef>
              <c:f>'60 dat'!$B$8</c:f>
              <c:strCache>
                <c:ptCount val="1"/>
                <c:pt idx="0">
                  <c:v>% del PIB c/pensiones</c:v>
                </c:pt>
              </c:strCache>
            </c:strRef>
          </c:tx>
          <c:spPr>
            <a:ln w="28575" cap="rnd">
              <a:solidFill>
                <a:srgbClr val="C00000"/>
              </a:solidFill>
              <a:round/>
            </a:ln>
            <a:effectLst/>
          </c:spPr>
          <c:marker>
            <c:symbol val="diamond"/>
            <c:size val="8"/>
            <c:spPr>
              <a:solidFill>
                <a:schemeClr val="accent3"/>
              </a:solidFill>
              <a:ln w="9525">
                <a:solidFill>
                  <a:srgbClr val="C00000"/>
                </a:solidFill>
              </a:ln>
              <a:effectLst/>
              <a:scene3d>
                <a:camera prst="orthographicFront"/>
                <a:lightRig rig="threePt" dir="t">
                  <a:rot lat="0" lon="0" rev="1200000"/>
                </a:lightRig>
              </a:scene3d>
              <a:sp3d>
                <a:bevelT w="63500" h="25400"/>
              </a:sp3d>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'60 dat'!$C$5:$AF$5</c15:sqref>
                  </c15:fullRef>
                </c:ext>
              </c:extLst>
              <c:f>'60 dat'!$AA$5:$AF$5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'60 dat'!$C$8:$AF$8</c15:sqref>
                  </c15:fullRef>
                </c:ext>
              </c:extLst>
              <c:f>'60 dat'!$AA$8:$AF$8</c:f>
              <c:numCache>
                <c:formatCode>0.0%</c:formatCode>
                <c:ptCount val="6"/>
                <c:pt idx="0">
                  <c:v>0.64587688389609921</c:v>
                </c:pt>
                <c:pt idx="1">
                  <c:v>0.66159148468485685</c:v>
                </c:pt>
                <c:pt idx="2">
                  <c:v>0.675783955608383</c:v>
                </c:pt>
                <c:pt idx="3">
                  <c:v>0.6936297919750386</c:v>
                </c:pt>
                <c:pt idx="4">
                  <c:v>0.69402603408381791</c:v>
                </c:pt>
                <c:pt idx="5">
                  <c:v>0.6849964082258323</c:v>
                </c:pt>
              </c:numCache>
            </c:numRef>
          </c:val>
          <c:smooth val="0"/>
          <c:extLst>
            <c:ext xmlns:c16="http://schemas.microsoft.com/office/drawing/2014/chart" uri="{C3380CC4-5D6E-409C-BE32-E72D297353CC}">
              <c16:uniqueId val="{00000002-E431-4504-ABCE-C608820133B3}"/>
            </c:ext>
          </c:extLst>
        </c:ser>
        <c:ser>
          <c:idx val="3"/>
          <c:order val="3"/>
          <c:tx>
            <c:strRef>
              <c:f>'60 dat'!$B$9</c:f>
              <c:strCache>
                <c:ptCount val="1"/>
                <c:pt idx="0">
                  <c:v>% del PIB s/pensiones</c:v>
                </c:pt>
              </c:strCache>
            </c:strRef>
          </c:tx>
          <c:spPr>
            <a:ln w="28575" cap="rnd">
              <a:solidFill>
                <a:srgbClr val="7030A0"/>
              </a:solidFill>
              <a:round/>
            </a:ln>
            <a:effectLst/>
          </c:spPr>
          <c:marker>
            <c:symbol val="x"/>
            <c:size val="8"/>
            <c:spPr>
              <a:noFill/>
              <a:ln w="9525">
                <a:solidFill>
                  <a:srgbClr val="7030A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S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'60 dat'!$C$5:$AF$5</c15:sqref>
                  </c15:fullRef>
                </c:ext>
              </c:extLst>
              <c:f>'60 dat'!$AA$5:$AF$5</c:f>
              <c:strCache>
                <c:ptCount val="6"/>
                <c:pt idx="0">
                  <c:v>2014</c:v>
                </c:pt>
                <c:pt idx="1">
                  <c:v>2015</c:v>
                </c:pt>
                <c:pt idx="2">
                  <c:v>2016</c:v>
                </c:pt>
                <c:pt idx="3">
                  <c:v>2017</c:v>
                </c:pt>
                <c:pt idx="4">
                  <c:v>2018</c:v>
                </c:pt>
                <c:pt idx="5">
                  <c:v>2019 Jun.</c:v>
                </c:pt>
              </c:strCache>
            </c:strRef>
          </c:cat>
          <c:val>
            <c:numRef>
              <c:extLst>
                <c:ext xmlns:c15="http://schemas.microsoft.com/office/drawing/2012/chart" uri="{02D57815-91ED-43cb-92C2-25804820EDAC}">
                  <c15:fullRef>
                    <c15:sqref>'60 dat'!$C$9:$AF$9</c15:sqref>
                  </c15:fullRef>
                </c:ext>
              </c:extLst>
              <c:f>'60 dat'!$AA$9:$AF$9</c:f>
              <c:numCache>
                <c:formatCode>0.0%</c:formatCode>
                <c:ptCount val="6"/>
                <c:pt idx="0">
                  <c:v>0.51132473232310038</c:v>
                </c:pt>
                <c:pt idx="1">
                  <c:v>0.51317163746083316</c:v>
                </c:pt>
                <c:pt idx="2">
                  <c:v>0.50952239598147064</c:v>
                </c:pt>
                <c:pt idx="3">
                  <c:v>0.51015717065850141</c:v>
                </c:pt>
                <c:pt idx="4">
                  <c:v>0.50515120841357419</c:v>
                </c:pt>
                <c:pt idx="5">
                  <c:v>0.49565922062455536</c:v>
                </c:pt>
              </c:numCache>
            </c:numRef>
          </c:val>
          <c:smooth val="0"/>
          <c:extLst>
            <c:ext xmlns:c16="http://schemas.microsoft.com/office/drawing/2014/chart" uri="{C3380CC4-5D6E-409C-BE32-E72D297353CC}">
              <c16:uniqueId val="{00000003-E431-4504-ABCE-C608820133B3}"/>
            </c:ext>
          </c:extLst>
        </c:ser>
        <c:dLbls>
          <c:showLegendKey val="0"/>
          <c:showVal val="0"/>
          <c:showCatName val="0"/>
          <c:showSerName val="0"/>
          <c:showPercent val="0"/>
          <c:showBubbleSize val="0"/>
        </c:dLbls>
        <c:marker val="1"/>
        <c:smooth val="0"/>
        <c:axId val="637833336"/>
        <c:axId val="637840784"/>
      </c:lineChart>
      <c:catAx>
        <c:axId val="6378372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050" b="1" i="0" u="none" strike="noStrike" kern="1200" baseline="0">
                <a:solidFill>
                  <a:schemeClr val="tx1"/>
                </a:solidFill>
                <a:latin typeface="+mn-lt"/>
                <a:ea typeface="+mn-ea"/>
                <a:cs typeface="+mn-cs"/>
              </a:defRPr>
            </a:pPr>
            <a:endParaRPr lang="es-SV"/>
          </a:p>
        </c:txPr>
        <c:crossAx val="637835296"/>
        <c:crosses val="autoZero"/>
        <c:auto val="1"/>
        <c:lblAlgn val="ctr"/>
        <c:lblOffset val="100"/>
        <c:noMultiLvlLbl val="0"/>
      </c:catAx>
      <c:valAx>
        <c:axId val="637835296"/>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37837256"/>
        <c:crosses val="autoZero"/>
        <c:crossBetween val="between"/>
      </c:valAx>
      <c:valAx>
        <c:axId val="637840784"/>
        <c:scaling>
          <c:orientation val="minMax"/>
        </c:scaling>
        <c:delete val="0"/>
        <c:axPos val="r"/>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crossAx val="637833336"/>
        <c:crosses val="max"/>
        <c:crossBetween val="between"/>
      </c:valAx>
      <c:catAx>
        <c:axId val="637833336"/>
        <c:scaling>
          <c:orientation val="minMax"/>
        </c:scaling>
        <c:delete val="1"/>
        <c:axPos val="b"/>
        <c:numFmt formatCode="General" sourceLinked="1"/>
        <c:majorTickMark val="out"/>
        <c:minorTickMark val="none"/>
        <c:tickLblPos val="nextTo"/>
        <c:crossAx val="6378407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s-S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1" i="0" baseline="0">
          <a:solidFill>
            <a:schemeClr val="tx1"/>
          </a:solidFill>
        </a:defRPr>
      </a:pPr>
      <a:endParaRPr lang="es-SV"/>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tabColor rgb="FF00B050"/>
  </sheetPr>
  <sheetViews>
    <sheetView zoomScale="73"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rgb="FF00B050"/>
  </sheetPr>
  <sheetViews>
    <sheetView zoomScale="7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92D050"/>
  </sheetPr>
  <sheetViews>
    <sheetView zoomScale="7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rgb="FF92D050"/>
  </sheetPr>
  <sheetViews>
    <sheetView zoomScale="7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rgb="FF92D050"/>
  </sheetPr>
  <sheetViews>
    <sheetView zoomScale="7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rgb="FF92D050"/>
  </sheetPr>
  <sheetViews>
    <sheetView zoomScale="7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rgb="FF642823"/>
  </sheetPr>
  <sheetViews>
    <sheetView zoomScale="7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9" tint="-0.499984740745262"/>
  </sheetPr>
  <sheetViews>
    <sheetView zoomScale="72"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rgb="FF413250"/>
  </sheetPr>
  <sheetViews>
    <sheetView zoomScale="72" workbookViewId="0" zoomToFit="1"/>
  </sheetViews>
  <pageMargins left="0.7" right="0.7" top="0.75" bottom="0.75" header="0.3" footer="0.3"/>
  <drawing r:id="rId1"/>
</chartsheet>
</file>

<file path=xl/diagrams/colors1.xml><?xml version="1.0" encoding="utf-8"?>
<dgm:colorsDef xmlns:dgm="http://schemas.openxmlformats.org/drawingml/2006/diagram" xmlns:a="http://schemas.openxmlformats.org/drawingml/2006/main" uniqueId="urn:microsoft.com/office/officeart/2005/8/colors/accent6_5">
  <dgm:title val=""/>
  <dgm:desc val=""/>
  <dgm:catLst>
    <dgm:cat type="accent6" pri="11500"/>
  </dgm:catLst>
  <dgm:styleLbl name="node0">
    <dgm:fillClrLst meth="cycle">
      <a:schemeClr val="accent6">
        <a:alpha val="80000"/>
      </a:schemeClr>
    </dgm:fillClrLst>
    <dgm:linClrLst meth="repeat">
      <a:schemeClr val="lt1"/>
    </dgm:linClrLst>
    <dgm:effectClrLst/>
    <dgm:txLinClrLst/>
    <dgm:txFillClrLst/>
    <dgm:txEffectClrLst/>
  </dgm:styleLbl>
  <dgm:styleLbl name="alignNode1">
    <dgm:fillClrLst>
      <a:schemeClr val="accent6">
        <a:alpha val="90000"/>
      </a:schemeClr>
      <a:schemeClr val="accent6">
        <a:alpha val="50000"/>
      </a:schemeClr>
    </dgm:fillClrLst>
    <dgm:linClrLst>
      <a:schemeClr val="accent6">
        <a:alpha val="90000"/>
      </a:schemeClr>
      <a:schemeClr val="accent6">
        <a:alpha val="50000"/>
      </a:schemeClr>
    </dgm:linClrLst>
    <dgm:effectClrLst/>
    <dgm:txLinClrLst/>
    <dgm:txFillClrLst/>
    <dgm:txEffectClrLst/>
  </dgm:styleLbl>
  <dgm:styleLbl name="node1">
    <dgm:fillClrLst>
      <a:schemeClr val="accent6">
        <a:alpha val="90000"/>
      </a:schemeClr>
      <a:schemeClr val="accent6">
        <a:alpha val="50000"/>
      </a:schemeClr>
    </dgm:fillClrLst>
    <dgm:linClrLst meth="repeat">
      <a:schemeClr val="lt1"/>
    </dgm:linClrLst>
    <dgm:effectClrLst/>
    <dgm:txLinClrLst/>
    <dgm:txFillClrLst/>
    <dgm:txEffectClrLst/>
  </dgm:styleLbl>
  <dgm:styleLbl name="lnNode1">
    <dgm:fillClrLst>
      <a:schemeClr val="accent6">
        <a:shade val="90000"/>
      </a:schemeClr>
      <a:schemeClr val="accent6">
        <a:tint val="50000"/>
        <a:alpha val="5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alpha val="80000"/>
      </a:schemeClr>
    </dgm:fillClrLst>
    <dgm:linClrLst meth="repeat">
      <a:schemeClr val="lt1"/>
    </dgm:linClrLst>
    <dgm:effectClrLst/>
    <dgm:txLinClrLst/>
    <dgm:txFillClrLst/>
    <dgm:txEffectClrLst/>
  </dgm:styleLbl>
  <dgm:styleLbl name="node2">
    <dgm:fillClrLst>
      <a:schemeClr val="accent6">
        <a:alpha val="70000"/>
      </a:schemeClr>
    </dgm:fillClrLst>
    <dgm:linClrLst meth="repeat">
      <a:schemeClr val="lt1"/>
    </dgm:linClrLst>
    <dgm:effectClrLst/>
    <dgm:txLinClrLst/>
    <dgm:txFillClrLst/>
    <dgm:txEffectClrLst/>
  </dgm:styleLbl>
  <dgm:styleLbl name="node3">
    <dgm:fillClrLst>
      <a:schemeClr val="accent6">
        <a:alpha val="50000"/>
      </a:schemeClr>
    </dgm:fillClrLst>
    <dgm:linClrLst meth="repeat">
      <a:schemeClr val="lt1"/>
    </dgm:linClrLst>
    <dgm:effectClrLst/>
    <dgm:txLinClrLst/>
    <dgm:txFillClrLst/>
    <dgm:txEffectClrLst/>
  </dgm:styleLbl>
  <dgm:styleLbl name="node4">
    <dgm:fillClrLst>
      <a:schemeClr val="accent6">
        <a:alpha val="30000"/>
      </a:schemeClr>
    </dgm:fillClrLst>
    <dgm:linClrLst meth="repeat">
      <a:schemeClr val="lt1"/>
    </dgm:linClrLst>
    <dgm:effectClrLst/>
    <dgm:txLinClrLst/>
    <dgm:txFillClrLst/>
    <dgm:txEffectClrLst/>
  </dgm:styleLbl>
  <dgm:styleLbl name="fgImgPlace1">
    <dgm:fillClrLst>
      <a:schemeClr val="accent6">
        <a:tint val="50000"/>
        <a:alpha val="90000"/>
      </a:schemeClr>
      <a:schemeClr val="accent6">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f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b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sibTrans1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alpha val="90000"/>
      </a:schemeClr>
    </dgm:fillClrLst>
    <dgm:linClrLst meth="repeat">
      <a:schemeClr val="lt1"/>
    </dgm:linClrLst>
    <dgm:effectClrLst/>
    <dgm:txLinClrLst/>
    <dgm:txFillClrLst/>
    <dgm:txEffectClrLst/>
  </dgm:styleLbl>
  <dgm:styleLbl name="asst1">
    <dgm:fillClrLst meth="repeat">
      <a:schemeClr val="accent6">
        <a:alpha val="90000"/>
      </a:schemeClr>
    </dgm:fillClrLst>
    <dgm:linClrLst meth="repeat">
      <a:schemeClr val="lt1"/>
    </dgm:linClrLst>
    <dgm:effectClrLst/>
    <dgm:txLinClrLst/>
    <dgm:txFillClrLst/>
    <dgm:txEffectClrLst/>
  </dgm:styleLbl>
  <dgm:styleLbl name="asst2">
    <dgm:fillClrLst>
      <a:schemeClr val="accent6">
        <a:alpha val="90000"/>
      </a:schemeClr>
    </dgm:fillClrLst>
    <dgm:linClrLst meth="repeat">
      <a:schemeClr val="lt1"/>
    </dgm:linClrLst>
    <dgm:effectClrLst/>
    <dgm:txLinClrLst/>
    <dgm:txFillClrLst/>
    <dgm:txEffectClrLst/>
  </dgm:styleLbl>
  <dgm:styleLbl name="asst3">
    <dgm:fillClrLst>
      <a:schemeClr val="accent6">
        <a:alpha val="70000"/>
      </a:schemeClr>
    </dgm:fillClrLst>
    <dgm:linClrLst meth="repeat">
      <a:schemeClr val="lt1"/>
    </dgm:linClrLst>
    <dgm:effectClrLst/>
    <dgm:txLinClrLst/>
    <dgm:txFillClrLst/>
    <dgm:txEffectClrLst/>
  </dgm:styleLbl>
  <dgm:styleLbl name="asst4">
    <dgm:fillClrLst>
      <a:schemeClr val="accent6">
        <a:alpha val="50000"/>
      </a:schemeClr>
    </dgm:fillClrLst>
    <dgm:linClrLst meth="repeat">
      <a:schemeClr val="lt1"/>
    </dgm:linClrLst>
    <dgm:effectClrLst/>
    <dgm:txLinClrLst/>
    <dgm:txFillClrLst/>
    <dgm:txEffectClrLst/>
  </dgm:styleLbl>
  <dgm:styleLbl name="parChTrans2D1">
    <dgm:fillClrLst meth="repeat">
      <a:schemeClr val="accent6">
        <a:shade val="80000"/>
      </a:schemeClr>
    </dgm:fillClrLst>
    <dgm:linClrLst meth="repeat">
      <a:schemeClr val="accent6">
        <a:shade val="80000"/>
      </a:schemeClr>
    </dgm:linClrLst>
    <dgm:effectClrLst/>
    <dgm:txLinClrLst/>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dk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a:tint val="90000"/>
      </a:schemeClr>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a:schemeClr val="accent6">
        <a:alpha val="90000"/>
        <a:tint val="40000"/>
      </a:schemeClr>
      <a:schemeClr val="accent6">
        <a:alpha val="5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5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1DF9068-036E-43FE-A5C6-AA21C2BF8E98}" type="doc">
      <dgm:prSet loTypeId="urn:microsoft.com/office/officeart/2005/8/layout/hierarchy1" loCatId="hierarchy" qsTypeId="urn:microsoft.com/office/officeart/2005/8/quickstyle/simple3" qsCatId="simple" csTypeId="urn:microsoft.com/office/officeart/2005/8/colors/accent6_5" csCatId="accent6" phldr="1"/>
      <dgm:spPr/>
      <dgm:t>
        <a:bodyPr/>
        <a:lstStyle/>
        <a:p>
          <a:endParaRPr lang="es-SV"/>
        </a:p>
      </dgm:t>
    </dgm:pt>
    <dgm:pt modelId="{328B0C34-68DF-46C6-9F01-15523BF7DC7B}">
      <dgm:prSet phldrT="[Texto]" custT="1"/>
      <dgm:spPr/>
      <dgm:t>
        <a:bodyPr/>
        <a:lstStyle/>
        <a:p>
          <a:r>
            <a:rPr lang="es-SV" sz="1200" b="1" dirty="0" smtClean="0">
              <a:latin typeface="Arial" panose="020B0604020202020204" pitchFamily="34" charset="0"/>
              <a:cs typeface="Arial" panose="020B0604020202020204" pitchFamily="34" charset="0"/>
            </a:rPr>
            <a:t>Sector Público No Financiero SPNF</a:t>
          </a:r>
          <a:endParaRPr lang="es-SV" sz="1200" b="1" dirty="0">
            <a:latin typeface="Arial" panose="020B0604020202020204" pitchFamily="34" charset="0"/>
            <a:cs typeface="Arial" panose="020B0604020202020204" pitchFamily="34" charset="0"/>
          </a:endParaRPr>
        </a:p>
      </dgm:t>
    </dgm:pt>
    <dgm:pt modelId="{EFEF3F91-E555-423F-A3A7-03CC54F30092}" type="parTrans" cxnId="{009667B8-1445-4F0D-A67B-BE5872F09230}">
      <dgm:prSet/>
      <dgm:spPr/>
      <dgm:t>
        <a:bodyPr/>
        <a:lstStyle/>
        <a:p>
          <a:endParaRPr lang="es-SV"/>
        </a:p>
      </dgm:t>
    </dgm:pt>
    <dgm:pt modelId="{D8DA2815-54D3-4FEF-BD38-0BD3CF63E634}" type="sibTrans" cxnId="{009667B8-1445-4F0D-A67B-BE5872F09230}">
      <dgm:prSet/>
      <dgm:spPr/>
      <dgm:t>
        <a:bodyPr/>
        <a:lstStyle/>
        <a:p>
          <a:endParaRPr lang="es-SV"/>
        </a:p>
      </dgm:t>
    </dgm:pt>
    <dgm:pt modelId="{C12B0815-2C34-44C3-9E05-FE11E72B6F72}">
      <dgm:prSet phldrT="[Texto]" custT="1"/>
      <dgm:spPr/>
      <dgm:t>
        <a:bodyPr/>
        <a:lstStyle/>
        <a:p>
          <a:r>
            <a:rPr lang="es-SV" sz="1200" b="1" dirty="0" smtClean="0">
              <a:latin typeface="Arial" panose="020B0604020202020204" pitchFamily="34" charset="0"/>
              <a:cs typeface="Arial" panose="020B0604020202020204" pitchFamily="34" charset="0"/>
            </a:rPr>
            <a:t>Gobierno General</a:t>
          </a:r>
          <a:endParaRPr lang="es-SV" sz="1200" b="1" dirty="0">
            <a:latin typeface="Arial" panose="020B0604020202020204" pitchFamily="34" charset="0"/>
            <a:cs typeface="Arial" panose="020B0604020202020204" pitchFamily="34" charset="0"/>
          </a:endParaRPr>
        </a:p>
      </dgm:t>
    </dgm:pt>
    <dgm:pt modelId="{F19C4507-7BBB-4876-BCFF-D43A0BAE3BC3}" type="parTrans" cxnId="{637BA87D-532A-4BA6-8EA0-B979562D4FB7}">
      <dgm:prSet/>
      <dgm:spPr/>
      <dgm:t>
        <a:bodyPr/>
        <a:lstStyle/>
        <a:p>
          <a:endParaRPr lang="es-SV"/>
        </a:p>
      </dgm:t>
    </dgm:pt>
    <dgm:pt modelId="{70C8EFAF-A6DB-4AF6-84D5-68E93D74B7CF}" type="sibTrans" cxnId="{637BA87D-532A-4BA6-8EA0-B979562D4FB7}">
      <dgm:prSet/>
      <dgm:spPr/>
      <dgm:t>
        <a:bodyPr/>
        <a:lstStyle/>
        <a:p>
          <a:endParaRPr lang="es-SV"/>
        </a:p>
      </dgm:t>
    </dgm:pt>
    <dgm:pt modelId="{938CA2A0-613F-43C7-9C3C-C277346A053D}">
      <dgm:prSet phldrT="[Texto]" custT="1"/>
      <dgm:spPr/>
      <dgm:t>
        <a:bodyPr/>
        <a:lstStyle/>
        <a:p>
          <a:r>
            <a:rPr lang="es-SV" sz="1200" b="1" dirty="0" smtClean="0">
              <a:latin typeface="Arial" panose="020B0604020202020204" pitchFamily="34" charset="0"/>
              <a:cs typeface="Arial" panose="020B0604020202020204" pitchFamily="34" charset="0"/>
            </a:rPr>
            <a:t>Gobierno  Central Consolidado</a:t>
          </a:r>
          <a:endParaRPr lang="es-SV" sz="1200" b="1" dirty="0">
            <a:latin typeface="Arial" panose="020B0604020202020204" pitchFamily="34" charset="0"/>
            <a:cs typeface="Arial" panose="020B0604020202020204" pitchFamily="34" charset="0"/>
          </a:endParaRPr>
        </a:p>
      </dgm:t>
    </dgm:pt>
    <dgm:pt modelId="{CC86855E-9160-4F37-84CE-9B3BFB5A357B}" type="parTrans" cxnId="{5E9F0E05-3013-4E67-82CC-AF48A4CB6CC3}">
      <dgm:prSet/>
      <dgm:spPr/>
      <dgm:t>
        <a:bodyPr/>
        <a:lstStyle/>
        <a:p>
          <a:endParaRPr lang="es-SV"/>
        </a:p>
      </dgm:t>
    </dgm:pt>
    <dgm:pt modelId="{645E6947-6738-4C08-BD1F-B7CC47E30EEE}" type="sibTrans" cxnId="{5E9F0E05-3013-4E67-82CC-AF48A4CB6CC3}">
      <dgm:prSet/>
      <dgm:spPr/>
      <dgm:t>
        <a:bodyPr/>
        <a:lstStyle/>
        <a:p>
          <a:endParaRPr lang="es-SV"/>
        </a:p>
      </dgm:t>
    </dgm:pt>
    <dgm:pt modelId="{C77C00A4-73E7-4960-A078-A3BD13D30AD8}">
      <dgm:prSet phldrT="[Texto]" custT="1"/>
      <dgm:spPr/>
      <dgm:t>
        <a:bodyPr/>
        <a:lstStyle/>
        <a:p>
          <a:r>
            <a:rPr lang="es-SV" sz="1200" b="1" dirty="0" smtClean="0">
              <a:latin typeface="Arial" panose="020B0604020202020204" pitchFamily="34" charset="0"/>
              <a:cs typeface="Arial" panose="020B0604020202020204" pitchFamily="34" charset="0"/>
            </a:rPr>
            <a:t>Resto del Gobierno General</a:t>
          </a:r>
          <a:endParaRPr lang="es-SV" sz="1200" b="1" dirty="0">
            <a:latin typeface="Arial" panose="020B0604020202020204" pitchFamily="34" charset="0"/>
            <a:cs typeface="Arial" panose="020B0604020202020204" pitchFamily="34" charset="0"/>
          </a:endParaRPr>
        </a:p>
      </dgm:t>
    </dgm:pt>
    <dgm:pt modelId="{6952D155-B912-4AF4-BF7A-007F3BE6173D}" type="parTrans" cxnId="{63CAF8DE-3EB5-4E4E-8F40-510BF743B3A6}">
      <dgm:prSet/>
      <dgm:spPr/>
      <dgm:t>
        <a:bodyPr/>
        <a:lstStyle/>
        <a:p>
          <a:endParaRPr lang="es-SV"/>
        </a:p>
      </dgm:t>
    </dgm:pt>
    <dgm:pt modelId="{0A93B4C9-7BCC-4445-A2B8-9CA3EAD4746D}" type="sibTrans" cxnId="{63CAF8DE-3EB5-4E4E-8F40-510BF743B3A6}">
      <dgm:prSet/>
      <dgm:spPr/>
      <dgm:t>
        <a:bodyPr/>
        <a:lstStyle/>
        <a:p>
          <a:endParaRPr lang="es-SV"/>
        </a:p>
      </dgm:t>
    </dgm:pt>
    <dgm:pt modelId="{21BED7D1-1117-4827-941F-139332ACD541}">
      <dgm:prSet phldrT="[Texto]" custT="1"/>
      <dgm:spPr/>
      <dgm:t>
        <a:bodyPr/>
        <a:lstStyle/>
        <a:p>
          <a:r>
            <a:rPr lang="es-SV" sz="1200" b="1" dirty="0" smtClean="0">
              <a:latin typeface="Arial" panose="020B0604020202020204" pitchFamily="34" charset="0"/>
              <a:cs typeface="Arial" panose="020B0604020202020204" pitchFamily="34" charset="0"/>
            </a:rPr>
            <a:t>Empresas Públicas No Financieras</a:t>
          </a:r>
          <a:endParaRPr lang="es-SV" sz="1200" b="1" dirty="0">
            <a:latin typeface="Arial" panose="020B0604020202020204" pitchFamily="34" charset="0"/>
            <a:cs typeface="Arial" panose="020B0604020202020204" pitchFamily="34" charset="0"/>
          </a:endParaRPr>
        </a:p>
      </dgm:t>
    </dgm:pt>
    <dgm:pt modelId="{26587474-2982-4C35-B809-B9BF213E30D7}" type="parTrans" cxnId="{0F3BE04E-87D2-47E4-8FFA-CC2BA30B2A1D}">
      <dgm:prSet/>
      <dgm:spPr/>
      <dgm:t>
        <a:bodyPr/>
        <a:lstStyle/>
        <a:p>
          <a:endParaRPr lang="es-SV"/>
        </a:p>
      </dgm:t>
    </dgm:pt>
    <dgm:pt modelId="{ED243128-838E-43D6-BA96-C7E1569DEEFA}" type="sibTrans" cxnId="{0F3BE04E-87D2-47E4-8FFA-CC2BA30B2A1D}">
      <dgm:prSet/>
      <dgm:spPr/>
      <dgm:t>
        <a:bodyPr/>
        <a:lstStyle/>
        <a:p>
          <a:endParaRPr lang="es-SV"/>
        </a:p>
      </dgm:t>
    </dgm:pt>
    <dgm:pt modelId="{14FCF8C0-74E0-4E69-9CFF-DC1FEC07735B}">
      <dgm:prSet phldrT="[Texto]" custT="1"/>
      <dgm:spPr/>
      <dgm:t>
        <a:bodyPr/>
        <a:lstStyle/>
        <a:p>
          <a:pPr algn="l"/>
          <a:r>
            <a:rPr lang="es-SV" sz="1000" b="1" dirty="0" smtClean="0">
              <a:latin typeface="Arial" panose="020B0604020202020204" pitchFamily="34" charset="0"/>
              <a:cs typeface="Arial" panose="020B0604020202020204" pitchFamily="34" charset="0"/>
            </a:rPr>
            <a:t>- CEL</a:t>
          </a:r>
        </a:p>
        <a:p>
          <a:pPr algn="l"/>
          <a:r>
            <a:rPr lang="es-SV" sz="1000" b="1" dirty="0" smtClean="0">
              <a:latin typeface="Arial" panose="020B0604020202020204" pitchFamily="34" charset="0"/>
              <a:cs typeface="Arial" panose="020B0604020202020204" pitchFamily="34" charset="0"/>
            </a:rPr>
            <a:t>- CEPA</a:t>
          </a:r>
        </a:p>
        <a:p>
          <a:pPr algn="l"/>
          <a:r>
            <a:rPr lang="es-SV" sz="1000" b="1" dirty="0" smtClean="0">
              <a:latin typeface="Arial" panose="020B0604020202020204" pitchFamily="34" charset="0"/>
              <a:cs typeface="Arial" panose="020B0604020202020204" pitchFamily="34" charset="0"/>
            </a:rPr>
            <a:t>- ANDA</a:t>
          </a:r>
        </a:p>
        <a:p>
          <a:pPr algn="l"/>
          <a:r>
            <a:rPr lang="es-SV" sz="1000" b="1" dirty="0" smtClean="0">
              <a:latin typeface="Arial" panose="020B0604020202020204" pitchFamily="34" charset="0"/>
              <a:cs typeface="Arial" panose="020B0604020202020204" pitchFamily="34" charset="0"/>
            </a:rPr>
            <a:t>- LNB</a:t>
          </a:r>
          <a:endParaRPr lang="es-SV" sz="1000" b="1" dirty="0">
            <a:latin typeface="Arial" panose="020B0604020202020204" pitchFamily="34" charset="0"/>
            <a:cs typeface="Arial" panose="020B0604020202020204" pitchFamily="34" charset="0"/>
          </a:endParaRPr>
        </a:p>
      </dgm:t>
    </dgm:pt>
    <dgm:pt modelId="{D6502453-C6F3-48EF-AA46-420A3B34D422}" type="parTrans" cxnId="{338EBD77-1B5F-4BF5-BC3F-00275AAE2B5F}">
      <dgm:prSet/>
      <dgm:spPr/>
      <dgm:t>
        <a:bodyPr/>
        <a:lstStyle/>
        <a:p>
          <a:endParaRPr lang="es-SV"/>
        </a:p>
      </dgm:t>
    </dgm:pt>
    <dgm:pt modelId="{46434A8A-50D3-43CC-A00F-C258D8F5053D}" type="sibTrans" cxnId="{338EBD77-1B5F-4BF5-BC3F-00275AAE2B5F}">
      <dgm:prSet/>
      <dgm:spPr/>
      <dgm:t>
        <a:bodyPr/>
        <a:lstStyle/>
        <a:p>
          <a:endParaRPr lang="es-SV"/>
        </a:p>
      </dgm:t>
    </dgm:pt>
    <dgm:pt modelId="{11AC59C3-B436-4CCD-9293-47F3A3E43E5D}">
      <dgm:prSet custT="1"/>
      <dgm:spPr/>
      <dgm:t>
        <a:bodyPr/>
        <a:lstStyle/>
        <a:p>
          <a:pPr algn="just"/>
          <a:r>
            <a:rPr lang="es-SV" sz="1000" b="1" dirty="0" smtClean="0">
              <a:latin typeface="Arial" panose="020B0604020202020204" pitchFamily="34" charset="0"/>
              <a:cs typeface="Arial" panose="020B0604020202020204" pitchFamily="34" charset="0"/>
            </a:rPr>
            <a:t>1. Gobierno Central</a:t>
          </a:r>
        </a:p>
        <a:p>
          <a:pPr algn="just"/>
          <a:r>
            <a:rPr lang="es-SV" sz="1000" dirty="0" smtClean="0">
              <a:latin typeface="Arial" panose="020B0604020202020204" pitchFamily="34" charset="0"/>
              <a:cs typeface="Arial" panose="020B0604020202020204" pitchFamily="34" charset="0"/>
            </a:rPr>
            <a:t>-Órgano Ejecutivo</a:t>
          </a:r>
        </a:p>
        <a:p>
          <a:pPr algn="just"/>
          <a:r>
            <a:rPr lang="es-SV" sz="1000" dirty="0" smtClean="0">
              <a:latin typeface="Arial" panose="020B0604020202020204" pitchFamily="34" charset="0"/>
              <a:cs typeface="Arial" panose="020B0604020202020204" pitchFamily="34" charset="0"/>
            </a:rPr>
            <a:t>-Órgano Legislativo</a:t>
          </a:r>
        </a:p>
        <a:p>
          <a:pPr algn="just"/>
          <a:r>
            <a:rPr lang="es-SV" sz="1000" dirty="0" smtClean="0">
              <a:latin typeface="Arial" panose="020B0604020202020204" pitchFamily="34" charset="0"/>
              <a:cs typeface="Arial" panose="020B0604020202020204" pitchFamily="34" charset="0"/>
            </a:rPr>
            <a:t>-Órgano Judicial</a:t>
          </a:r>
        </a:p>
        <a:p>
          <a:pPr algn="just"/>
          <a:r>
            <a:rPr lang="es-SV" sz="1000" dirty="0" smtClean="0">
              <a:latin typeface="Arial" panose="020B0604020202020204" pitchFamily="34" charset="0"/>
              <a:cs typeface="Arial" panose="020B0604020202020204" pitchFamily="34" charset="0"/>
            </a:rPr>
            <a:t>-Ministerio Público</a:t>
          </a:r>
        </a:p>
        <a:p>
          <a:pPr algn="just"/>
          <a:r>
            <a:rPr lang="es-SV" sz="1000" dirty="0" smtClean="0">
              <a:latin typeface="Arial" panose="020B0604020202020204" pitchFamily="34" charset="0"/>
              <a:cs typeface="Arial" panose="020B0604020202020204" pitchFamily="34" charset="0"/>
            </a:rPr>
            <a:t>-Otras instituciones (C. de C., Tribunales, CNJ)</a:t>
          </a:r>
        </a:p>
        <a:p>
          <a:pPr algn="just"/>
          <a:endParaRPr lang="es-SV" sz="1000" dirty="0" smtClean="0">
            <a:latin typeface="Arial" panose="020B0604020202020204" pitchFamily="34" charset="0"/>
            <a:cs typeface="Arial" panose="020B0604020202020204" pitchFamily="34" charset="0"/>
          </a:endParaRPr>
        </a:p>
        <a:p>
          <a:pPr algn="just"/>
          <a:r>
            <a:rPr lang="es-SV" sz="1000" b="1" dirty="0" smtClean="0">
              <a:latin typeface="Arial" panose="020B0604020202020204" pitchFamily="34" charset="0"/>
              <a:cs typeface="Arial" panose="020B0604020202020204" pitchFamily="34" charset="0"/>
            </a:rPr>
            <a:t>2. Otras Instituciones del Gobierno Central</a:t>
          </a:r>
          <a:endParaRPr lang="es-SV" sz="1000" b="0" dirty="0" smtClean="0">
            <a:latin typeface="Arial" panose="020B0604020202020204" pitchFamily="34" charset="0"/>
            <a:cs typeface="Arial" panose="020B0604020202020204" pitchFamily="34" charset="0"/>
          </a:endParaRPr>
        </a:p>
        <a:p>
          <a:pPr algn="just"/>
          <a:r>
            <a:rPr lang="es-SV" sz="1000" b="0" dirty="0" smtClean="0">
              <a:latin typeface="Arial" panose="020B0604020202020204" pitchFamily="34" charset="0"/>
              <a:cs typeface="Arial" panose="020B0604020202020204" pitchFamily="34" charset="0"/>
            </a:rPr>
            <a:t>- SETEFE</a:t>
          </a:r>
        </a:p>
        <a:p>
          <a:pPr algn="just"/>
          <a:r>
            <a:rPr lang="es-SV" sz="1000" b="0" dirty="0" smtClean="0">
              <a:latin typeface="Arial" panose="020B0604020202020204" pitchFamily="34" charset="0"/>
              <a:cs typeface="Arial" panose="020B0604020202020204" pitchFamily="34" charset="0"/>
            </a:rPr>
            <a:t>- FISDL</a:t>
          </a:r>
        </a:p>
        <a:p>
          <a:pPr algn="just"/>
          <a:r>
            <a:rPr lang="es-SV" sz="1000" b="0" dirty="0" smtClean="0">
              <a:latin typeface="Arial" panose="020B0604020202020204" pitchFamily="34" charset="0"/>
              <a:cs typeface="Arial" panose="020B0604020202020204" pitchFamily="34" charset="0"/>
            </a:rPr>
            <a:t>- FOVIAL</a:t>
          </a:r>
        </a:p>
        <a:p>
          <a:pPr algn="just"/>
          <a:r>
            <a:rPr lang="es-SV" sz="1000" b="0" dirty="0" smtClean="0">
              <a:latin typeface="Arial" panose="020B0604020202020204" pitchFamily="34" charset="0"/>
              <a:cs typeface="Arial" panose="020B0604020202020204" pitchFamily="34" charset="0"/>
            </a:rPr>
            <a:t>- FANTEL</a:t>
          </a:r>
        </a:p>
        <a:p>
          <a:pPr algn="just"/>
          <a:r>
            <a:rPr lang="es-SV" sz="1000" b="0" dirty="0" smtClean="0">
              <a:latin typeface="Arial" panose="020B0604020202020204" pitchFamily="34" charset="0"/>
              <a:cs typeface="Arial" panose="020B0604020202020204" pitchFamily="34" charset="0"/>
            </a:rPr>
            <a:t>- FOMILENIO</a:t>
          </a:r>
        </a:p>
      </dgm:t>
    </dgm:pt>
    <dgm:pt modelId="{5AFCA9BE-9852-487C-8E7A-6236E42CEC56}" type="parTrans" cxnId="{49C54B06-328A-433C-814C-071749A1BEE5}">
      <dgm:prSet/>
      <dgm:spPr/>
      <dgm:t>
        <a:bodyPr/>
        <a:lstStyle/>
        <a:p>
          <a:endParaRPr lang="es-SV"/>
        </a:p>
      </dgm:t>
    </dgm:pt>
    <dgm:pt modelId="{735ABE48-2D7E-4A43-89D8-03E6BEF29821}" type="sibTrans" cxnId="{49C54B06-328A-433C-814C-071749A1BEE5}">
      <dgm:prSet/>
      <dgm:spPr/>
      <dgm:t>
        <a:bodyPr/>
        <a:lstStyle/>
        <a:p>
          <a:endParaRPr lang="es-SV"/>
        </a:p>
      </dgm:t>
    </dgm:pt>
    <dgm:pt modelId="{A50AD32A-10E8-4BAE-B9A6-C990BF9010FB}">
      <dgm:prSet custT="1"/>
      <dgm:spPr/>
      <dgm:t>
        <a:bodyPr/>
        <a:lstStyle/>
        <a:p>
          <a:pPr algn="just"/>
          <a:endParaRPr lang="es-SV" sz="1000" dirty="0" smtClean="0">
            <a:latin typeface="Arial" panose="020B0604020202020204" pitchFamily="34" charset="0"/>
            <a:cs typeface="Arial" panose="020B0604020202020204" pitchFamily="34" charset="0"/>
          </a:endParaRPr>
        </a:p>
        <a:p>
          <a:pPr algn="just"/>
          <a:endParaRPr lang="es-SV" sz="1000" dirty="0" smtClean="0">
            <a:latin typeface="Arial" panose="020B0604020202020204" pitchFamily="34" charset="0"/>
            <a:cs typeface="Arial" panose="020B0604020202020204" pitchFamily="34" charset="0"/>
          </a:endParaRPr>
        </a:p>
        <a:p>
          <a:pPr algn="just"/>
          <a:endParaRPr lang="es-SV" sz="1000" dirty="0" smtClean="0">
            <a:latin typeface="Arial" panose="020B0604020202020204" pitchFamily="34" charset="0"/>
            <a:cs typeface="Arial" panose="020B0604020202020204" pitchFamily="34" charset="0"/>
          </a:endParaRPr>
        </a:p>
        <a:p>
          <a:pPr algn="just"/>
          <a:r>
            <a:rPr lang="es-SV" sz="1000" b="1" dirty="0" smtClean="0">
              <a:latin typeface="Arial" panose="020B0604020202020204" pitchFamily="34" charset="0"/>
              <a:cs typeface="Arial" panose="020B0604020202020204" pitchFamily="34" charset="0"/>
            </a:rPr>
            <a:t>1. ISSS (IVM y Régimen de Salud)</a:t>
          </a:r>
        </a:p>
        <a:p>
          <a:pPr algn="just"/>
          <a:endParaRPr lang="es-SV" sz="1000" dirty="0" smtClean="0">
            <a:latin typeface="Arial" panose="020B0604020202020204" pitchFamily="34" charset="0"/>
            <a:cs typeface="Arial" panose="020B0604020202020204" pitchFamily="34" charset="0"/>
          </a:endParaRPr>
        </a:p>
        <a:p>
          <a:pPr algn="just"/>
          <a:r>
            <a:rPr lang="es-SV" sz="1000" b="1" dirty="0" smtClean="0">
              <a:latin typeface="Arial" panose="020B0604020202020204" pitchFamily="34" charset="0"/>
              <a:cs typeface="Arial" panose="020B0604020202020204" pitchFamily="34" charset="0"/>
            </a:rPr>
            <a:t>2. Municipalidades (Transferencias FODES e Ingresos Propios</a:t>
          </a:r>
          <a:r>
            <a:rPr lang="es-SV" sz="1000" dirty="0" smtClean="0">
              <a:latin typeface="Arial" panose="020B0604020202020204" pitchFamily="34" charset="0"/>
              <a:cs typeface="Arial" panose="020B0604020202020204" pitchFamily="34" charset="0"/>
            </a:rPr>
            <a:t>)</a:t>
          </a:r>
        </a:p>
        <a:p>
          <a:pPr algn="just"/>
          <a:endParaRPr lang="es-SV" sz="1000" dirty="0" smtClean="0">
            <a:latin typeface="Arial" panose="020B0604020202020204" pitchFamily="34" charset="0"/>
            <a:cs typeface="Arial" panose="020B0604020202020204" pitchFamily="34" charset="0"/>
          </a:endParaRPr>
        </a:p>
        <a:p>
          <a:pPr algn="just"/>
          <a:r>
            <a:rPr lang="es-SV" sz="1000" b="1" dirty="0" smtClean="0">
              <a:latin typeface="Arial" panose="020B0604020202020204" pitchFamily="34" charset="0"/>
              <a:cs typeface="Arial" panose="020B0604020202020204" pitchFamily="34" charset="0"/>
            </a:rPr>
            <a:t>3. Otras Instituciones Descentralizadas</a:t>
          </a:r>
        </a:p>
        <a:p>
          <a:pPr algn="just"/>
          <a:r>
            <a:rPr lang="es-SV" sz="1000" dirty="0" smtClean="0">
              <a:latin typeface="Arial" panose="020B0604020202020204" pitchFamily="34" charset="0"/>
              <a:cs typeface="Arial" panose="020B0604020202020204" pitchFamily="34" charset="0"/>
            </a:rPr>
            <a:t>- Caja mutual</a:t>
          </a:r>
        </a:p>
        <a:p>
          <a:pPr algn="just"/>
          <a:r>
            <a:rPr lang="es-SV" sz="1000" dirty="0" smtClean="0">
              <a:latin typeface="Arial" panose="020B0604020202020204" pitchFamily="34" charset="0"/>
              <a:cs typeface="Arial" panose="020B0604020202020204" pitchFamily="34" charset="0"/>
            </a:rPr>
            <a:t>- ENA</a:t>
          </a:r>
        </a:p>
        <a:p>
          <a:pPr algn="just"/>
          <a:r>
            <a:rPr lang="es-SV" sz="1000" dirty="0" smtClean="0">
              <a:latin typeface="Arial" panose="020B0604020202020204" pitchFamily="34" charset="0"/>
              <a:cs typeface="Arial" panose="020B0604020202020204" pitchFamily="34" charset="0"/>
            </a:rPr>
            <a:t>- CENTA</a:t>
          </a:r>
        </a:p>
        <a:p>
          <a:pPr algn="just"/>
          <a:r>
            <a:rPr lang="es-SV" sz="1000" dirty="0" smtClean="0">
              <a:latin typeface="Arial" panose="020B0604020202020204" pitchFamily="34" charset="0"/>
              <a:cs typeface="Arial" panose="020B0604020202020204" pitchFamily="34" charset="0"/>
            </a:rPr>
            <a:t>- INDES</a:t>
          </a:r>
        </a:p>
        <a:p>
          <a:pPr algn="just"/>
          <a:r>
            <a:rPr lang="es-SV" sz="1000" dirty="0" smtClean="0">
              <a:latin typeface="Arial" panose="020B0604020202020204" pitchFamily="34" charset="0"/>
              <a:cs typeface="Arial" panose="020B0604020202020204" pitchFamily="34" charset="0"/>
            </a:rPr>
            <a:t>- ISTU</a:t>
          </a:r>
        </a:p>
        <a:p>
          <a:pPr algn="just"/>
          <a:r>
            <a:rPr lang="es-SV" sz="1000" dirty="0" smtClean="0">
              <a:latin typeface="Arial" panose="020B0604020202020204" pitchFamily="34" charset="0"/>
              <a:cs typeface="Arial" panose="020B0604020202020204" pitchFamily="34" charset="0"/>
            </a:rPr>
            <a:t>- CORSATUR</a:t>
          </a:r>
        </a:p>
        <a:p>
          <a:pPr algn="just"/>
          <a:r>
            <a:rPr lang="es-SV" sz="1000" dirty="0" smtClean="0">
              <a:latin typeface="Arial" panose="020B0604020202020204" pitchFamily="34" charset="0"/>
              <a:cs typeface="Arial" panose="020B0604020202020204" pitchFamily="34" charset="0"/>
            </a:rPr>
            <a:t>- CONACYT</a:t>
          </a:r>
        </a:p>
        <a:p>
          <a:pPr algn="just"/>
          <a:r>
            <a:rPr lang="es-SV" sz="1000" dirty="0" smtClean="0">
              <a:latin typeface="Arial" panose="020B0604020202020204" pitchFamily="34" charset="0"/>
              <a:cs typeface="Arial" panose="020B0604020202020204" pitchFamily="34" charset="0"/>
            </a:rPr>
            <a:t>- Hospitales</a:t>
          </a:r>
        </a:p>
        <a:p>
          <a:pPr algn="just"/>
          <a:r>
            <a:rPr lang="es-SV" sz="1000" dirty="0" smtClean="0">
              <a:latin typeface="Arial" panose="020B0604020202020204" pitchFamily="34" charset="0"/>
              <a:cs typeface="Arial" panose="020B0604020202020204" pitchFamily="34" charset="0"/>
            </a:rPr>
            <a:t>- UES</a:t>
          </a:r>
        </a:p>
        <a:p>
          <a:pPr algn="just"/>
          <a:r>
            <a:rPr lang="es-SV" sz="1000" dirty="0" smtClean="0">
              <a:latin typeface="Arial" panose="020B0604020202020204" pitchFamily="34" charset="0"/>
              <a:cs typeface="Arial" panose="020B0604020202020204" pitchFamily="34" charset="0"/>
            </a:rPr>
            <a:t>- ISTA</a:t>
          </a:r>
        </a:p>
        <a:p>
          <a:pPr algn="just"/>
          <a:r>
            <a:rPr lang="es-SV" sz="1000" dirty="0" smtClean="0">
              <a:latin typeface="Arial" panose="020B0604020202020204" pitchFamily="34" charset="0"/>
              <a:cs typeface="Arial" panose="020B0604020202020204" pitchFamily="34" charset="0"/>
            </a:rPr>
            <a:t>- Otros</a:t>
          </a:r>
        </a:p>
        <a:p>
          <a:pPr algn="just"/>
          <a:endParaRPr lang="es-SV" sz="1000" dirty="0" smtClean="0">
            <a:latin typeface="Arial" panose="020B0604020202020204" pitchFamily="34" charset="0"/>
            <a:cs typeface="Arial" panose="020B0604020202020204" pitchFamily="34" charset="0"/>
          </a:endParaRPr>
        </a:p>
        <a:p>
          <a:pPr algn="just"/>
          <a:endParaRPr lang="es-SV" sz="1000" dirty="0" smtClean="0">
            <a:latin typeface="Arial" panose="020B0604020202020204" pitchFamily="34" charset="0"/>
            <a:cs typeface="Arial" panose="020B0604020202020204" pitchFamily="34" charset="0"/>
          </a:endParaRPr>
        </a:p>
        <a:p>
          <a:pPr algn="just"/>
          <a:endParaRPr lang="es-SV" sz="1000" dirty="0">
            <a:latin typeface="Arial" panose="020B0604020202020204" pitchFamily="34" charset="0"/>
            <a:cs typeface="Arial" panose="020B0604020202020204" pitchFamily="34" charset="0"/>
          </a:endParaRPr>
        </a:p>
      </dgm:t>
    </dgm:pt>
    <dgm:pt modelId="{7F9B35F3-4883-4348-9D08-C968F1471833}" type="parTrans" cxnId="{44BB5594-2FD1-4594-AC78-792431313AD9}">
      <dgm:prSet/>
      <dgm:spPr/>
      <dgm:t>
        <a:bodyPr/>
        <a:lstStyle/>
        <a:p>
          <a:endParaRPr lang="es-SV"/>
        </a:p>
      </dgm:t>
    </dgm:pt>
    <dgm:pt modelId="{9FFABDF6-CFA7-4B23-B797-7D34A1BC055D}" type="sibTrans" cxnId="{44BB5594-2FD1-4594-AC78-792431313AD9}">
      <dgm:prSet/>
      <dgm:spPr/>
      <dgm:t>
        <a:bodyPr/>
        <a:lstStyle/>
        <a:p>
          <a:endParaRPr lang="es-SV"/>
        </a:p>
      </dgm:t>
    </dgm:pt>
    <dgm:pt modelId="{9AC415D2-1D57-4617-8179-69C8F6161137}" type="pres">
      <dgm:prSet presAssocID="{A1DF9068-036E-43FE-A5C6-AA21C2BF8E98}" presName="hierChild1" presStyleCnt="0">
        <dgm:presLayoutVars>
          <dgm:chPref val="1"/>
          <dgm:dir/>
          <dgm:animOne val="branch"/>
          <dgm:animLvl val="lvl"/>
          <dgm:resizeHandles/>
        </dgm:presLayoutVars>
      </dgm:prSet>
      <dgm:spPr/>
      <dgm:t>
        <a:bodyPr/>
        <a:lstStyle/>
        <a:p>
          <a:endParaRPr lang="es-SV"/>
        </a:p>
      </dgm:t>
    </dgm:pt>
    <dgm:pt modelId="{D7510A71-00A3-48E2-A296-1A1607F4922F}" type="pres">
      <dgm:prSet presAssocID="{328B0C34-68DF-46C6-9F01-15523BF7DC7B}" presName="hierRoot1" presStyleCnt="0"/>
      <dgm:spPr/>
    </dgm:pt>
    <dgm:pt modelId="{8995AB40-C7EE-4D76-9D02-40DDB2051EAA}" type="pres">
      <dgm:prSet presAssocID="{328B0C34-68DF-46C6-9F01-15523BF7DC7B}" presName="composite" presStyleCnt="0"/>
      <dgm:spPr/>
    </dgm:pt>
    <dgm:pt modelId="{A9ACD91D-BDA9-4991-89F0-17740BE1B128}" type="pres">
      <dgm:prSet presAssocID="{328B0C34-68DF-46C6-9F01-15523BF7DC7B}" presName="background" presStyleLbl="node0" presStyleIdx="0" presStyleCnt="1"/>
      <dgm:spPr/>
    </dgm:pt>
    <dgm:pt modelId="{C2FD73A9-742A-4F06-AF1F-FB9BD13ACC71}" type="pres">
      <dgm:prSet presAssocID="{328B0C34-68DF-46C6-9F01-15523BF7DC7B}" presName="text" presStyleLbl="fgAcc0" presStyleIdx="0" presStyleCnt="1" custScaleX="182989" custScaleY="33916" custLinFactNeighborX="13463" custLinFactNeighborY="2434">
        <dgm:presLayoutVars>
          <dgm:chPref val="3"/>
        </dgm:presLayoutVars>
      </dgm:prSet>
      <dgm:spPr/>
      <dgm:t>
        <a:bodyPr/>
        <a:lstStyle/>
        <a:p>
          <a:endParaRPr lang="es-SV"/>
        </a:p>
      </dgm:t>
    </dgm:pt>
    <dgm:pt modelId="{2B0F84C3-4508-4B78-A056-FA0BFF3F35F6}" type="pres">
      <dgm:prSet presAssocID="{328B0C34-68DF-46C6-9F01-15523BF7DC7B}" presName="hierChild2" presStyleCnt="0"/>
      <dgm:spPr/>
    </dgm:pt>
    <dgm:pt modelId="{7E8D5988-B575-487D-B882-E82DC2F34B71}" type="pres">
      <dgm:prSet presAssocID="{F19C4507-7BBB-4876-BCFF-D43A0BAE3BC3}" presName="Name10" presStyleLbl="parChTrans1D2" presStyleIdx="0" presStyleCnt="2"/>
      <dgm:spPr/>
      <dgm:t>
        <a:bodyPr/>
        <a:lstStyle/>
        <a:p>
          <a:endParaRPr lang="es-SV"/>
        </a:p>
      </dgm:t>
    </dgm:pt>
    <dgm:pt modelId="{5402E62E-BF69-481E-BB76-79C846F71693}" type="pres">
      <dgm:prSet presAssocID="{C12B0815-2C34-44C3-9E05-FE11E72B6F72}" presName="hierRoot2" presStyleCnt="0"/>
      <dgm:spPr/>
    </dgm:pt>
    <dgm:pt modelId="{09B75777-8E3A-4E11-8071-5A7C51F1D29F}" type="pres">
      <dgm:prSet presAssocID="{C12B0815-2C34-44C3-9E05-FE11E72B6F72}" presName="composite2" presStyleCnt="0"/>
      <dgm:spPr/>
    </dgm:pt>
    <dgm:pt modelId="{3BA02DDF-F748-4627-9901-0D2380064ED4}" type="pres">
      <dgm:prSet presAssocID="{C12B0815-2C34-44C3-9E05-FE11E72B6F72}" presName="background2" presStyleLbl="node2" presStyleIdx="0" presStyleCnt="2"/>
      <dgm:spPr/>
    </dgm:pt>
    <dgm:pt modelId="{5E7D6DC9-74E3-43E9-9AAE-6C01C7D815CE}" type="pres">
      <dgm:prSet presAssocID="{C12B0815-2C34-44C3-9E05-FE11E72B6F72}" presName="text2" presStyleLbl="fgAcc2" presStyleIdx="0" presStyleCnt="2" custScaleX="97414" custScaleY="28688" custLinFactNeighborX="-42225" custLinFactNeighborY="-2885">
        <dgm:presLayoutVars>
          <dgm:chPref val="3"/>
        </dgm:presLayoutVars>
      </dgm:prSet>
      <dgm:spPr/>
      <dgm:t>
        <a:bodyPr/>
        <a:lstStyle/>
        <a:p>
          <a:endParaRPr lang="es-SV"/>
        </a:p>
      </dgm:t>
    </dgm:pt>
    <dgm:pt modelId="{E4E7A67B-8288-4827-9C8A-3D7C512AB1DC}" type="pres">
      <dgm:prSet presAssocID="{C12B0815-2C34-44C3-9E05-FE11E72B6F72}" presName="hierChild3" presStyleCnt="0"/>
      <dgm:spPr/>
    </dgm:pt>
    <dgm:pt modelId="{E27663AB-EFD8-4941-B9F8-7E0F67A4128B}" type="pres">
      <dgm:prSet presAssocID="{CC86855E-9160-4F37-84CE-9B3BFB5A357B}" presName="Name17" presStyleLbl="parChTrans1D3" presStyleIdx="0" presStyleCnt="3"/>
      <dgm:spPr/>
      <dgm:t>
        <a:bodyPr/>
        <a:lstStyle/>
        <a:p>
          <a:endParaRPr lang="es-SV"/>
        </a:p>
      </dgm:t>
    </dgm:pt>
    <dgm:pt modelId="{AD100F2A-17AA-4D97-8BC5-32497AAB5BF6}" type="pres">
      <dgm:prSet presAssocID="{938CA2A0-613F-43C7-9C3C-C277346A053D}" presName="hierRoot3" presStyleCnt="0"/>
      <dgm:spPr/>
    </dgm:pt>
    <dgm:pt modelId="{4B6C9CF1-367F-4FBB-956D-DBE281CE9994}" type="pres">
      <dgm:prSet presAssocID="{938CA2A0-613F-43C7-9C3C-C277346A053D}" presName="composite3" presStyleCnt="0"/>
      <dgm:spPr/>
    </dgm:pt>
    <dgm:pt modelId="{1F232E71-7625-44E3-982C-7B9DB3A790F0}" type="pres">
      <dgm:prSet presAssocID="{938CA2A0-613F-43C7-9C3C-C277346A053D}" presName="background3" presStyleLbl="node3" presStyleIdx="0" presStyleCnt="3"/>
      <dgm:spPr/>
    </dgm:pt>
    <dgm:pt modelId="{6EEB60B1-09DD-4B41-AFD4-677978162E58}" type="pres">
      <dgm:prSet presAssocID="{938CA2A0-613F-43C7-9C3C-C277346A053D}" presName="text3" presStyleLbl="fgAcc3" presStyleIdx="0" presStyleCnt="3" custScaleX="112592" custScaleY="38865" custLinFactNeighborX="-72520" custLinFactNeighborY="2919">
        <dgm:presLayoutVars>
          <dgm:chPref val="3"/>
        </dgm:presLayoutVars>
      </dgm:prSet>
      <dgm:spPr/>
      <dgm:t>
        <a:bodyPr/>
        <a:lstStyle/>
        <a:p>
          <a:endParaRPr lang="es-SV"/>
        </a:p>
      </dgm:t>
    </dgm:pt>
    <dgm:pt modelId="{0FB0C3C4-A48F-4429-9997-ACB6FFA466AA}" type="pres">
      <dgm:prSet presAssocID="{938CA2A0-613F-43C7-9C3C-C277346A053D}" presName="hierChild4" presStyleCnt="0"/>
      <dgm:spPr/>
    </dgm:pt>
    <dgm:pt modelId="{BCEBF87E-C668-4229-A21C-93FA176F622E}" type="pres">
      <dgm:prSet presAssocID="{5AFCA9BE-9852-487C-8E7A-6236E42CEC56}" presName="Name23" presStyleLbl="parChTrans1D4" presStyleIdx="0" presStyleCnt="2"/>
      <dgm:spPr/>
      <dgm:t>
        <a:bodyPr/>
        <a:lstStyle/>
        <a:p>
          <a:endParaRPr lang="es-SV"/>
        </a:p>
      </dgm:t>
    </dgm:pt>
    <dgm:pt modelId="{C0478290-9909-45CF-8767-79F05C8769C4}" type="pres">
      <dgm:prSet presAssocID="{11AC59C3-B436-4CCD-9293-47F3A3E43E5D}" presName="hierRoot4" presStyleCnt="0"/>
      <dgm:spPr/>
    </dgm:pt>
    <dgm:pt modelId="{24F98AB8-E564-4FA2-9F8B-7CF32BF1DC4B}" type="pres">
      <dgm:prSet presAssocID="{11AC59C3-B436-4CCD-9293-47F3A3E43E5D}" presName="composite4" presStyleCnt="0"/>
      <dgm:spPr/>
    </dgm:pt>
    <dgm:pt modelId="{6BC5DF06-4589-41A9-8A4A-9B2599698691}" type="pres">
      <dgm:prSet presAssocID="{11AC59C3-B436-4CCD-9293-47F3A3E43E5D}" presName="background4" presStyleLbl="node4" presStyleIdx="0" presStyleCnt="2"/>
      <dgm:spPr/>
    </dgm:pt>
    <dgm:pt modelId="{9A839FEB-5EFD-4A14-A90F-7C04BD710EE5}" type="pres">
      <dgm:prSet presAssocID="{11AC59C3-B436-4CCD-9293-47F3A3E43E5D}" presName="text4" presStyleLbl="fgAcc4" presStyleIdx="0" presStyleCnt="2" custScaleX="141618" custScaleY="322026" custLinFactNeighborX="-65682" custLinFactNeighborY="2014">
        <dgm:presLayoutVars>
          <dgm:chPref val="3"/>
        </dgm:presLayoutVars>
      </dgm:prSet>
      <dgm:spPr/>
      <dgm:t>
        <a:bodyPr/>
        <a:lstStyle/>
        <a:p>
          <a:endParaRPr lang="es-SV"/>
        </a:p>
      </dgm:t>
    </dgm:pt>
    <dgm:pt modelId="{E0DA0B26-C4F4-4B92-8B70-E7802298EB52}" type="pres">
      <dgm:prSet presAssocID="{11AC59C3-B436-4CCD-9293-47F3A3E43E5D}" presName="hierChild5" presStyleCnt="0"/>
      <dgm:spPr/>
    </dgm:pt>
    <dgm:pt modelId="{F4F9186E-C313-4114-995B-B823BD512284}" type="pres">
      <dgm:prSet presAssocID="{6952D155-B912-4AF4-BF7A-007F3BE6173D}" presName="Name17" presStyleLbl="parChTrans1D3" presStyleIdx="1" presStyleCnt="3"/>
      <dgm:spPr/>
      <dgm:t>
        <a:bodyPr/>
        <a:lstStyle/>
        <a:p>
          <a:endParaRPr lang="es-SV"/>
        </a:p>
      </dgm:t>
    </dgm:pt>
    <dgm:pt modelId="{9F26059F-BDE7-48B1-85F7-DC871F699DE9}" type="pres">
      <dgm:prSet presAssocID="{C77C00A4-73E7-4960-A078-A3BD13D30AD8}" presName="hierRoot3" presStyleCnt="0"/>
      <dgm:spPr/>
    </dgm:pt>
    <dgm:pt modelId="{146C7538-A3C7-489A-ADB5-497419F81FF3}" type="pres">
      <dgm:prSet presAssocID="{C77C00A4-73E7-4960-A078-A3BD13D30AD8}" presName="composite3" presStyleCnt="0"/>
      <dgm:spPr/>
    </dgm:pt>
    <dgm:pt modelId="{5926DD51-D545-41E8-9D34-5C657746FD5D}" type="pres">
      <dgm:prSet presAssocID="{C77C00A4-73E7-4960-A078-A3BD13D30AD8}" presName="background3" presStyleLbl="node3" presStyleIdx="1" presStyleCnt="3"/>
      <dgm:spPr/>
    </dgm:pt>
    <dgm:pt modelId="{F2F318AE-64CB-4479-A133-5013F8D9488C}" type="pres">
      <dgm:prSet presAssocID="{C77C00A4-73E7-4960-A078-A3BD13D30AD8}" presName="text3" presStyleLbl="fgAcc3" presStyleIdx="1" presStyleCnt="3" custScaleX="185169" custScaleY="50478" custLinFactNeighborX="-3445" custLinFactNeighborY="3246">
        <dgm:presLayoutVars>
          <dgm:chPref val="3"/>
        </dgm:presLayoutVars>
      </dgm:prSet>
      <dgm:spPr/>
      <dgm:t>
        <a:bodyPr/>
        <a:lstStyle/>
        <a:p>
          <a:endParaRPr lang="es-SV"/>
        </a:p>
      </dgm:t>
    </dgm:pt>
    <dgm:pt modelId="{A4309F38-4992-4EE5-9C0D-82B54E44D54D}" type="pres">
      <dgm:prSet presAssocID="{C77C00A4-73E7-4960-A078-A3BD13D30AD8}" presName="hierChild4" presStyleCnt="0"/>
      <dgm:spPr/>
    </dgm:pt>
    <dgm:pt modelId="{13319AF4-6932-48E0-89F2-846DF75998AA}" type="pres">
      <dgm:prSet presAssocID="{7F9B35F3-4883-4348-9D08-C968F1471833}" presName="Name23" presStyleLbl="parChTrans1D4" presStyleIdx="1" presStyleCnt="2"/>
      <dgm:spPr/>
      <dgm:t>
        <a:bodyPr/>
        <a:lstStyle/>
        <a:p>
          <a:endParaRPr lang="es-SV"/>
        </a:p>
      </dgm:t>
    </dgm:pt>
    <dgm:pt modelId="{2B7EB277-BFD8-4529-A8EA-48FB62AF2F43}" type="pres">
      <dgm:prSet presAssocID="{A50AD32A-10E8-4BAE-B9A6-C990BF9010FB}" presName="hierRoot4" presStyleCnt="0"/>
      <dgm:spPr/>
    </dgm:pt>
    <dgm:pt modelId="{5AA07B03-542A-4A61-993F-6B295DCA1E5A}" type="pres">
      <dgm:prSet presAssocID="{A50AD32A-10E8-4BAE-B9A6-C990BF9010FB}" presName="composite4" presStyleCnt="0"/>
      <dgm:spPr/>
    </dgm:pt>
    <dgm:pt modelId="{6C82BDC4-C854-449B-9955-E9D1743EA6CC}" type="pres">
      <dgm:prSet presAssocID="{A50AD32A-10E8-4BAE-B9A6-C990BF9010FB}" presName="background4" presStyleLbl="node4" presStyleIdx="1" presStyleCnt="2"/>
      <dgm:spPr/>
    </dgm:pt>
    <dgm:pt modelId="{53DC9D95-A90B-420D-A855-78125E7AE985}" type="pres">
      <dgm:prSet presAssocID="{A50AD32A-10E8-4BAE-B9A6-C990BF9010FB}" presName="text4" presStyleLbl="fgAcc4" presStyleIdx="1" presStyleCnt="2" custScaleX="182001" custScaleY="367776" custLinFactNeighborX="-8475" custLinFactNeighborY="344">
        <dgm:presLayoutVars>
          <dgm:chPref val="3"/>
        </dgm:presLayoutVars>
      </dgm:prSet>
      <dgm:spPr/>
      <dgm:t>
        <a:bodyPr/>
        <a:lstStyle/>
        <a:p>
          <a:endParaRPr lang="es-SV"/>
        </a:p>
      </dgm:t>
    </dgm:pt>
    <dgm:pt modelId="{9C94B112-3E12-420B-B225-0827AA6C2B95}" type="pres">
      <dgm:prSet presAssocID="{A50AD32A-10E8-4BAE-B9A6-C990BF9010FB}" presName="hierChild5" presStyleCnt="0"/>
      <dgm:spPr/>
    </dgm:pt>
    <dgm:pt modelId="{8A1DE448-CBF9-412A-9D59-70792A61F1E9}" type="pres">
      <dgm:prSet presAssocID="{26587474-2982-4C35-B809-B9BF213E30D7}" presName="Name10" presStyleLbl="parChTrans1D2" presStyleIdx="1" presStyleCnt="2"/>
      <dgm:spPr/>
      <dgm:t>
        <a:bodyPr/>
        <a:lstStyle/>
        <a:p>
          <a:endParaRPr lang="es-SV"/>
        </a:p>
      </dgm:t>
    </dgm:pt>
    <dgm:pt modelId="{BFB55B89-6F1C-499C-A841-4A7FF3C824B2}" type="pres">
      <dgm:prSet presAssocID="{21BED7D1-1117-4827-941F-139332ACD541}" presName="hierRoot2" presStyleCnt="0"/>
      <dgm:spPr/>
    </dgm:pt>
    <dgm:pt modelId="{51A32830-00FF-4DA0-957D-2237BBED7B3C}" type="pres">
      <dgm:prSet presAssocID="{21BED7D1-1117-4827-941F-139332ACD541}" presName="composite2" presStyleCnt="0"/>
      <dgm:spPr/>
    </dgm:pt>
    <dgm:pt modelId="{9C826C0C-B43F-427F-B072-AB40AA047F0B}" type="pres">
      <dgm:prSet presAssocID="{21BED7D1-1117-4827-941F-139332ACD541}" presName="background2" presStyleLbl="node2" presStyleIdx="1" presStyleCnt="2"/>
      <dgm:spPr/>
    </dgm:pt>
    <dgm:pt modelId="{0E40976A-AF86-4F04-B50D-A8133EDBC5E8}" type="pres">
      <dgm:prSet presAssocID="{21BED7D1-1117-4827-941F-139332ACD541}" presName="text2" presStyleLbl="fgAcc2" presStyleIdx="1" presStyleCnt="2" custScaleX="104465" custScaleY="68405" custLinFactNeighborX="68744" custLinFactNeighborY="-2399">
        <dgm:presLayoutVars>
          <dgm:chPref val="3"/>
        </dgm:presLayoutVars>
      </dgm:prSet>
      <dgm:spPr/>
      <dgm:t>
        <a:bodyPr/>
        <a:lstStyle/>
        <a:p>
          <a:endParaRPr lang="es-SV"/>
        </a:p>
      </dgm:t>
    </dgm:pt>
    <dgm:pt modelId="{D5B02DA5-096B-41C4-9D3B-DB222477CEC8}" type="pres">
      <dgm:prSet presAssocID="{21BED7D1-1117-4827-941F-139332ACD541}" presName="hierChild3" presStyleCnt="0"/>
      <dgm:spPr/>
    </dgm:pt>
    <dgm:pt modelId="{4DD75EC6-9C8A-42D0-9A4C-9D71C530B9FD}" type="pres">
      <dgm:prSet presAssocID="{D6502453-C6F3-48EF-AA46-420A3B34D422}" presName="Name17" presStyleLbl="parChTrans1D3" presStyleIdx="2" presStyleCnt="3"/>
      <dgm:spPr/>
      <dgm:t>
        <a:bodyPr/>
        <a:lstStyle/>
        <a:p>
          <a:endParaRPr lang="es-SV"/>
        </a:p>
      </dgm:t>
    </dgm:pt>
    <dgm:pt modelId="{D9291486-073A-453B-B590-E98E67DDFA79}" type="pres">
      <dgm:prSet presAssocID="{14FCF8C0-74E0-4E69-9CFF-DC1FEC07735B}" presName="hierRoot3" presStyleCnt="0"/>
      <dgm:spPr/>
    </dgm:pt>
    <dgm:pt modelId="{A5D20A8F-036B-44F7-8EED-E07FD96FD3EE}" type="pres">
      <dgm:prSet presAssocID="{14FCF8C0-74E0-4E69-9CFF-DC1FEC07735B}" presName="composite3" presStyleCnt="0"/>
      <dgm:spPr/>
    </dgm:pt>
    <dgm:pt modelId="{D3607AC5-E1F7-414C-B5CD-E7931C44CAB7}" type="pres">
      <dgm:prSet presAssocID="{14FCF8C0-74E0-4E69-9CFF-DC1FEC07735B}" presName="background3" presStyleLbl="node3" presStyleIdx="2" presStyleCnt="3"/>
      <dgm:spPr/>
    </dgm:pt>
    <dgm:pt modelId="{7778C609-CDAF-4056-A8DB-11D57A16CF3C}" type="pres">
      <dgm:prSet presAssocID="{14FCF8C0-74E0-4E69-9CFF-DC1FEC07735B}" presName="text3" presStyleLbl="fgAcc3" presStyleIdx="2" presStyleCnt="3" custLinFactNeighborX="77623" custLinFactNeighborY="66374">
        <dgm:presLayoutVars>
          <dgm:chPref val="3"/>
        </dgm:presLayoutVars>
      </dgm:prSet>
      <dgm:spPr/>
      <dgm:t>
        <a:bodyPr/>
        <a:lstStyle/>
        <a:p>
          <a:endParaRPr lang="es-SV"/>
        </a:p>
      </dgm:t>
    </dgm:pt>
    <dgm:pt modelId="{68A921A7-E622-4E7D-AAAD-11F3C89750E4}" type="pres">
      <dgm:prSet presAssocID="{14FCF8C0-74E0-4E69-9CFF-DC1FEC07735B}" presName="hierChild4" presStyleCnt="0"/>
      <dgm:spPr/>
    </dgm:pt>
  </dgm:ptLst>
  <dgm:cxnLst>
    <dgm:cxn modelId="{26EB73A9-1E8A-4ED4-9ADA-CE5B21B6E844}" type="presOf" srcId="{14FCF8C0-74E0-4E69-9CFF-DC1FEC07735B}" destId="{7778C609-CDAF-4056-A8DB-11D57A16CF3C}" srcOrd="0" destOrd="0" presId="urn:microsoft.com/office/officeart/2005/8/layout/hierarchy1"/>
    <dgm:cxn modelId="{44BB5594-2FD1-4594-AC78-792431313AD9}" srcId="{C77C00A4-73E7-4960-A078-A3BD13D30AD8}" destId="{A50AD32A-10E8-4BAE-B9A6-C990BF9010FB}" srcOrd="0" destOrd="0" parTransId="{7F9B35F3-4883-4348-9D08-C968F1471833}" sibTransId="{9FFABDF6-CFA7-4B23-B797-7D34A1BC055D}"/>
    <dgm:cxn modelId="{A10E1480-E5E8-4692-9D10-53595D982267}" type="presOf" srcId="{26587474-2982-4C35-B809-B9BF213E30D7}" destId="{8A1DE448-CBF9-412A-9D59-70792A61F1E9}" srcOrd="0" destOrd="0" presId="urn:microsoft.com/office/officeart/2005/8/layout/hierarchy1"/>
    <dgm:cxn modelId="{5E9F0E05-3013-4E67-82CC-AF48A4CB6CC3}" srcId="{C12B0815-2C34-44C3-9E05-FE11E72B6F72}" destId="{938CA2A0-613F-43C7-9C3C-C277346A053D}" srcOrd="0" destOrd="0" parTransId="{CC86855E-9160-4F37-84CE-9B3BFB5A357B}" sibTransId="{645E6947-6738-4C08-BD1F-B7CC47E30EEE}"/>
    <dgm:cxn modelId="{A6565064-4497-492D-867A-CC699825CF96}" type="presOf" srcId="{7F9B35F3-4883-4348-9D08-C968F1471833}" destId="{13319AF4-6932-48E0-89F2-846DF75998AA}" srcOrd="0" destOrd="0" presId="urn:microsoft.com/office/officeart/2005/8/layout/hierarchy1"/>
    <dgm:cxn modelId="{C5594D7F-1115-4B1F-8637-FDED5D5CA4A6}" type="presOf" srcId="{CC86855E-9160-4F37-84CE-9B3BFB5A357B}" destId="{E27663AB-EFD8-4941-B9F8-7E0F67A4128B}" srcOrd="0" destOrd="0" presId="urn:microsoft.com/office/officeart/2005/8/layout/hierarchy1"/>
    <dgm:cxn modelId="{5CAAD427-17FB-4786-840B-CACCB3892763}" type="presOf" srcId="{C77C00A4-73E7-4960-A078-A3BD13D30AD8}" destId="{F2F318AE-64CB-4479-A133-5013F8D9488C}" srcOrd="0" destOrd="0" presId="urn:microsoft.com/office/officeart/2005/8/layout/hierarchy1"/>
    <dgm:cxn modelId="{009667B8-1445-4F0D-A67B-BE5872F09230}" srcId="{A1DF9068-036E-43FE-A5C6-AA21C2BF8E98}" destId="{328B0C34-68DF-46C6-9F01-15523BF7DC7B}" srcOrd="0" destOrd="0" parTransId="{EFEF3F91-E555-423F-A3A7-03CC54F30092}" sibTransId="{D8DA2815-54D3-4FEF-BD38-0BD3CF63E634}"/>
    <dgm:cxn modelId="{D477B7E9-51D3-44DC-98EA-8F2FF2A11FBE}" type="presOf" srcId="{11AC59C3-B436-4CCD-9293-47F3A3E43E5D}" destId="{9A839FEB-5EFD-4A14-A90F-7C04BD710EE5}" srcOrd="0" destOrd="0" presId="urn:microsoft.com/office/officeart/2005/8/layout/hierarchy1"/>
    <dgm:cxn modelId="{BE53D14B-6093-422E-AF17-E337CEDD4D05}" type="presOf" srcId="{C12B0815-2C34-44C3-9E05-FE11E72B6F72}" destId="{5E7D6DC9-74E3-43E9-9AAE-6C01C7D815CE}" srcOrd="0" destOrd="0" presId="urn:microsoft.com/office/officeart/2005/8/layout/hierarchy1"/>
    <dgm:cxn modelId="{80651E1B-F1E0-4131-9407-1FAB95D74216}" type="presOf" srcId="{6952D155-B912-4AF4-BF7A-007F3BE6173D}" destId="{F4F9186E-C313-4114-995B-B823BD512284}" srcOrd="0" destOrd="0" presId="urn:microsoft.com/office/officeart/2005/8/layout/hierarchy1"/>
    <dgm:cxn modelId="{49C54B06-328A-433C-814C-071749A1BEE5}" srcId="{938CA2A0-613F-43C7-9C3C-C277346A053D}" destId="{11AC59C3-B436-4CCD-9293-47F3A3E43E5D}" srcOrd="0" destOrd="0" parTransId="{5AFCA9BE-9852-487C-8E7A-6236E42CEC56}" sibTransId="{735ABE48-2D7E-4A43-89D8-03E6BEF29821}"/>
    <dgm:cxn modelId="{C1B8EB32-EEDE-4BE9-8A1C-0A8FCAB35952}" type="presOf" srcId="{A1DF9068-036E-43FE-A5C6-AA21C2BF8E98}" destId="{9AC415D2-1D57-4617-8179-69C8F6161137}" srcOrd="0" destOrd="0" presId="urn:microsoft.com/office/officeart/2005/8/layout/hierarchy1"/>
    <dgm:cxn modelId="{0F3BE04E-87D2-47E4-8FFA-CC2BA30B2A1D}" srcId="{328B0C34-68DF-46C6-9F01-15523BF7DC7B}" destId="{21BED7D1-1117-4827-941F-139332ACD541}" srcOrd="1" destOrd="0" parTransId="{26587474-2982-4C35-B809-B9BF213E30D7}" sibTransId="{ED243128-838E-43D6-BA96-C7E1569DEEFA}"/>
    <dgm:cxn modelId="{EE29FBAA-9F44-479A-B997-BA8999975A76}" type="presOf" srcId="{5AFCA9BE-9852-487C-8E7A-6236E42CEC56}" destId="{BCEBF87E-C668-4229-A21C-93FA176F622E}" srcOrd="0" destOrd="0" presId="urn:microsoft.com/office/officeart/2005/8/layout/hierarchy1"/>
    <dgm:cxn modelId="{637BA87D-532A-4BA6-8EA0-B979562D4FB7}" srcId="{328B0C34-68DF-46C6-9F01-15523BF7DC7B}" destId="{C12B0815-2C34-44C3-9E05-FE11E72B6F72}" srcOrd="0" destOrd="0" parTransId="{F19C4507-7BBB-4876-BCFF-D43A0BAE3BC3}" sibTransId="{70C8EFAF-A6DB-4AF6-84D5-68E93D74B7CF}"/>
    <dgm:cxn modelId="{0A6C27E6-5437-4921-80BB-AEA4D01B703A}" type="presOf" srcId="{21BED7D1-1117-4827-941F-139332ACD541}" destId="{0E40976A-AF86-4F04-B50D-A8133EDBC5E8}" srcOrd="0" destOrd="0" presId="urn:microsoft.com/office/officeart/2005/8/layout/hierarchy1"/>
    <dgm:cxn modelId="{37231E90-01AE-4385-88DB-68703CAC23B8}" type="presOf" srcId="{938CA2A0-613F-43C7-9C3C-C277346A053D}" destId="{6EEB60B1-09DD-4B41-AFD4-677978162E58}" srcOrd="0" destOrd="0" presId="urn:microsoft.com/office/officeart/2005/8/layout/hierarchy1"/>
    <dgm:cxn modelId="{8734D0E3-BA3C-4031-BE90-761513677FE7}" type="presOf" srcId="{328B0C34-68DF-46C6-9F01-15523BF7DC7B}" destId="{C2FD73A9-742A-4F06-AF1F-FB9BD13ACC71}" srcOrd="0" destOrd="0" presId="urn:microsoft.com/office/officeart/2005/8/layout/hierarchy1"/>
    <dgm:cxn modelId="{7C361F17-8B3F-4A48-9B4D-5856D7B7F474}" type="presOf" srcId="{A50AD32A-10E8-4BAE-B9A6-C990BF9010FB}" destId="{53DC9D95-A90B-420D-A855-78125E7AE985}" srcOrd="0" destOrd="0" presId="urn:microsoft.com/office/officeart/2005/8/layout/hierarchy1"/>
    <dgm:cxn modelId="{63CAF8DE-3EB5-4E4E-8F40-510BF743B3A6}" srcId="{C12B0815-2C34-44C3-9E05-FE11E72B6F72}" destId="{C77C00A4-73E7-4960-A078-A3BD13D30AD8}" srcOrd="1" destOrd="0" parTransId="{6952D155-B912-4AF4-BF7A-007F3BE6173D}" sibTransId="{0A93B4C9-7BCC-4445-A2B8-9CA3EAD4746D}"/>
    <dgm:cxn modelId="{50E70411-9778-4F38-A13E-3AF98020D3C8}" type="presOf" srcId="{D6502453-C6F3-48EF-AA46-420A3B34D422}" destId="{4DD75EC6-9C8A-42D0-9A4C-9D71C530B9FD}" srcOrd="0" destOrd="0" presId="urn:microsoft.com/office/officeart/2005/8/layout/hierarchy1"/>
    <dgm:cxn modelId="{338EBD77-1B5F-4BF5-BC3F-00275AAE2B5F}" srcId="{21BED7D1-1117-4827-941F-139332ACD541}" destId="{14FCF8C0-74E0-4E69-9CFF-DC1FEC07735B}" srcOrd="0" destOrd="0" parTransId="{D6502453-C6F3-48EF-AA46-420A3B34D422}" sibTransId="{46434A8A-50D3-43CC-A00F-C258D8F5053D}"/>
    <dgm:cxn modelId="{F9BEC09E-7931-414B-A000-66291A63F818}" type="presOf" srcId="{F19C4507-7BBB-4876-BCFF-D43A0BAE3BC3}" destId="{7E8D5988-B575-487D-B882-E82DC2F34B71}" srcOrd="0" destOrd="0" presId="urn:microsoft.com/office/officeart/2005/8/layout/hierarchy1"/>
    <dgm:cxn modelId="{3A6AD831-DDFA-42FA-9EAE-7FEBAF0A9F79}" type="presParOf" srcId="{9AC415D2-1D57-4617-8179-69C8F6161137}" destId="{D7510A71-00A3-48E2-A296-1A1607F4922F}" srcOrd="0" destOrd="0" presId="urn:microsoft.com/office/officeart/2005/8/layout/hierarchy1"/>
    <dgm:cxn modelId="{90901AF8-0EDC-49A9-8D36-6F2773EAC219}" type="presParOf" srcId="{D7510A71-00A3-48E2-A296-1A1607F4922F}" destId="{8995AB40-C7EE-4D76-9D02-40DDB2051EAA}" srcOrd="0" destOrd="0" presId="urn:microsoft.com/office/officeart/2005/8/layout/hierarchy1"/>
    <dgm:cxn modelId="{76CFCF3D-D7AE-4958-9AFD-299B1C4A4FF3}" type="presParOf" srcId="{8995AB40-C7EE-4D76-9D02-40DDB2051EAA}" destId="{A9ACD91D-BDA9-4991-89F0-17740BE1B128}" srcOrd="0" destOrd="0" presId="urn:microsoft.com/office/officeart/2005/8/layout/hierarchy1"/>
    <dgm:cxn modelId="{A3517CB4-D8AB-4990-8FD0-3E4E63377B2F}" type="presParOf" srcId="{8995AB40-C7EE-4D76-9D02-40DDB2051EAA}" destId="{C2FD73A9-742A-4F06-AF1F-FB9BD13ACC71}" srcOrd="1" destOrd="0" presId="urn:microsoft.com/office/officeart/2005/8/layout/hierarchy1"/>
    <dgm:cxn modelId="{56CF2203-A209-4531-B4B6-DB2D2C3DCAFF}" type="presParOf" srcId="{D7510A71-00A3-48E2-A296-1A1607F4922F}" destId="{2B0F84C3-4508-4B78-A056-FA0BFF3F35F6}" srcOrd="1" destOrd="0" presId="urn:microsoft.com/office/officeart/2005/8/layout/hierarchy1"/>
    <dgm:cxn modelId="{0262D82E-BFA0-47FF-A8CF-945CCC19DC05}" type="presParOf" srcId="{2B0F84C3-4508-4B78-A056-FA0BFF3F35F6}" destId="{7E8D5988-B575-487D-B882-E82DC2F34B71}" srcOrd="0" destOrd="0" presId="urn:microsoft.com/office/officeart/2005/8/layout/hierarchy1"/>
    <dgm:cxn modelId="{D6E9642D-D774-4A8F-B681-55D29B48910E}" type="presParOf" srcId="{2B0F84C3-4508-4B78-A056-FA0BFF3F35F6}" destId="{5402E62E-BF69-481E-BB76-79C846F71693}" srcOrd="1" destOrd="0" presId="urn:microsoft.com/office/officeart/2005/8/layout/hierarchy1"/>
    <dgm:cxn modelId="{9794C12F-6FBB-47E6-AE4F-9339A7010E33}" type="presParOf" srcId="{5402E62E-BF69-481E-BB76-79C846F71693}" destId="{09B75777-8E3A-4E11-8071-5A7C51F1D29F}" srcOrd="0" destOrd="0" presId="urn:microsoft.com/office/officeart/2005/8/layout/hierarchy1"/>
    <dgm:cxn modelId="{3D6DCD46-44E0-4F42-99D4-3BE7EFF25EB8}" type="presParOf" srcId="{09B75777-8E3A-4E11-8071-5A7C51F1D29F}" destId="{3BA02DDF-F748-4627-9901-0D2380064ED4}" srcOrd="0" destOrd="0" presId="urn:microsoft.com/office/officeart/2005/8/layout/hierarchy1"/>
    <dgm:cxn modelId="{A0540D2E-E88D-472B-BF6F-994210B2ADE9}" type="presParOf" srcId="{09B75777-8E3A-4E11-8071-5A7C51F1D29F}" destId="{5E7D6DC9-74E3-43E9-9AAE-6C01C7D815CE}" srcOrd="1" destOrd="0" presId="urn:microsoft.com/office/officeart/2005/8/layout/hierarchy1"/>
    <dgm:cxn modelId="{65422A2C-41E5-49E7-8E07-FC45A78F3C6D}" type="presParOf" srcId="{5402E62E-BF69-481E-BB76-79C846F71693}" destId="{E4E7A67B-8288-4827-9C8A-3D7C512AB1DC}" srcOrd="1" destOrd="0" presId="urn:microsoft.com/office/officeart/2005/8/layout/hierarchy1"/>
    <dgm:cxn modelId="{C763637F-2A60-4A49-860C-4F988EFA192E}" type="presParOf" srcId="{E4E7A67B-8288-4827-9C8A-3D7C512AB1DC}" destId="{E27663AB-EFD8-4941-B9F8-7E0F67A4128B}" srcOrd="0" destOrd="0" presId="urn:microsoft.com/office/officeart/2005/8/layout/hierarchy1"/>
    <dgm:cxn modelId="{329404E0-1B46-475F-856E-8F8668400B7C}" type="presParOf" srcId="{E4E7A67B-8288-4827-9C8A-3D7C512AB1DC}" destId="{AD100F2A-17AA-4D97-8BC5-32497AAB5BF6}" srcOrd="1" destOrd="0" presId="urn:microsoft.com/office/officeart/2005/8/layout/hierarchy1"/>
    <dgm:cxn modelId="{8A1BEC26-25BA-43AF-8C19-0A152084C51A}" type="presParOf" srcId="{AD100F2A-17AA-4D97-8BC5-32497AAB5BF6}" destId="{4B6C9CF1-367F-4FBB-956D-DBE281CE9994}" srcOrd="0" destOrd="0" presId="urn:microsoft.com/office/officeart/2005/8/layout/hierarchy1"/>
    <dgm:cxn modelId="{2FA8A5C9-80F3-42A2-8991-3C213DD4C212}" type="presParOf" srcId="{4B6C9CF1-367F-4FBB-956D-DBE281CE9994}" destId="{1F232E71-7625-44E3-982C-7B9DB3A790F0}" srcOrd="0" destOrd="0" presId="urn:microsoft.com/office/officeart/2005/8/layout/hierarchy1"/>
    <dgm:cxn modelId="{2F4594D2-CCAC-4FCB-BCD2-A101A9426116}" type="presParOf" srcId="{4B6C9CF1-367F-4FBB-956D-DBE281CE9994}" destId="{6EEB60B1-09DD-4B41-AFD4-677978162E58}" srcOrd="1" destOrd="0" presId="urn:microsoft.com/office/officeart/2005/8/layout/hierarchy1"/>
    <dgm:cxn modelId="{3F26DFE1-11FE-4665-9ADD-A1A6140300CB}" type="presParOf" srcId="{AD100F2A-17AA-4D97-8BC5-32497AAB5BF6}" destId="{0FB0C3C4-A48F-4429-9997-ACB6FFA466AA}" srcOrd="1" destOrd="0" presId="urn:microsoft.com/office/officeart/2005/8/layout/hierarchy1"/>
    <dgm:cxn modelId="{701372F2-A9C4-45CB-8E89-589D03BE258D}" type="presParOf" srcId="{0FB0C3C4-A48F-4429-9997-ACB6FFA466AA}" destId="{BCEBF87E-C668-4229-A21C-93FA176F622E}" srcOrd="0" destOrd="0" presId="urn:microsoft.com/office/officeart/2005/8/layout/hierarchy1"/>
    <dgm:cxn modelId="{883BBCD0-79E3-405D-8E31-B0F3E86F6C85}" type="presParOf" srcId="{0FB0C3C4-A48F-4429-9997-ACB6FFA466AA}" destId="{C0478290-9909-45CF-8767-79F05C8769C4}" srcOrd="1" destOrd="0" presId="urn:microsoft.com/office/officeart/2005/8/layout/hierarchy1"/>
    <dgm:cxn modelId="{AD1D0C23-2A41-4B48-ABD4-3F0984BA8F43}" type="presParOf" srcId="{C0478290-9909-45CF-8767-79F05C8769C4}" destId="{24F98AB8-E564-4FA2-9F8B-7CF32BF1DC4B}" srcOrd="0" destOrd="0" presId="urn:microsoft.com/office/officeart/2005/8/layout/hierarchy1"/>
    <dgm:cxn modelId="{791FFF82-4E2C-4FD2-81D1-EB502CACB1B4}" type="presParOf" srcId="{24F98AB8-E564-4FA2-9F8B-7CF32BF1DC4B}" destId="{6BC5DF06-4589-41A9-8A4A-9B2599698691}" srcOrd="0" destOrd="0" presId="urn:microsoft.com/office/officeart/2005/8/layout/hierarchy1"/>
    <dgm:cxn modelId="{6857E782-40C3-44CA-A875-B3503011A93B}" type="presParOf" srcId="{24F98AB8-E564-4FA2-9F8B-7CF32BF1DC4B}" destId="{9A839FEB-5EFD-4A14-A90F-7C04BD710EE5}" srcOrd="1" destOrd="0" presId="urn:microsoft.com/office/officeart/2005/8/layout/hierarchy1"/>
    <dgm:cxn modelId="{E36E3E48-BB50-4451-9467-B9B30BA1EACB}" type="presParOf" srcId="{C0478290-9909-45CF-8767-79F05C8769C4}" destId="{E0DA0B26-C4F4-4B92-8B70-E7802298EB52}" srcOrd="1" destOrd="0" presId="urn:microsoft.com/office/officeart/2005/8/layout/hierarchy1"/>
    <dgm:cxn modelId="{2D389727-0E37-4433-9329-20BCD27BF443}" type="presParOf" srcId="{E4E7A67B-8288-4827-9C8A-3D7C512AB1DC}" destId="{F4F9186E-C313-4114-995B-B823BD512284}" srcOrd="2" destOrd="0" presId="urn:microsoft.com/office/officeart/2005/8/layout/hierarchy1"/>
    <dgm:cxn modelId="{BC5A6BCF-6F67-4D80-B173-4E941E8C45F6}" type="presParOf" srcId="{E4E7A67B-8288-4827-9C8A-3D7C512AB1DC}" destId="{9F26059F-BDE7-48B1-85F7-DC871F699DE9}" srcOrd="3" destOrd="0" presId="urn:microsoft.com/office/officeart/2005/8/layout/hierarchy1"/>
    <dgm:cxn modelId="{0F81AC10-F606-4671-8F87-20C87412F43A}" type="presParOf" srcId="{9F26059F-BDE7-48B1-85F7-DC871F699DE9}" destId="{146C7538-A3C7-489A-ADB5-497419F81FF3}" srcOrd="0" destOrd="0" presId="urn:microsoft.com/office/officeart/2005/8/layout/hierarchy1"/>
    <dgm:cxn modelId="{2996C46B-A682-4B87-BD71-A922955CC7A7}" type="presParOf" srcId="{146C7538-A3C7-489A-ADB5-497419F81FF3}" destId="{5926DD51-D545-41E8-9D34-5C657746FD5D}" srcOrd="0" destOrd="0" presId="urn:microsoft.com/office/officeart/2005/8/layout/hierarchy1"/>
    <dgm:cxn modelId="{646AD9E1-EE7D-4B5F-8D2A-B36975730BFA}" type="presParOf" srcId="{146C7538-A3C7-489A-ADB5-497419F81FF3}" destId="{F2F318AE-64CB-4479-A133-5013F8D9488C}" srcOrd="1" destOrd="0" presId="urn:microsoft.com/office/officeart/2005/8/layout/hierarchy1"/>
    <dgm:cxn modelId="{A646D980-E7C3-4A59-B754-4348589DB019}" type="presParOf" srcId="{9F26059F-BDE7-48B1-85F7-DC871F699DE9}" destId="{A4309F38-4992-4EE5-9C0D-82B54E44D54D}" srcOrd="1" destOrd="0" presId="urn:microsoft.com/office/officeart/2005/8/layout/hierarchy1"/>
    <dgm:cxn modelId="{4E9AE88F-8DEC-483B-AFEE-8E160B35FB00}" type="presParOf" srcId="{A4309F38-4992-4EE5-9C0D-82B54E44D54D}" destId="{13319AF4-6932-48E0-89F2-846DF75998AA}" srcOrd="0" destOrd="0" presId="urn:microsoft.com/office/officeart/2005/8/layout/hierarchy1"/>
    <dgm:cxn modelId="{FE47EE40-A629-4002-9C50-BE9587E010B3}" type="presParOf" srcId="{A4309F38-4992-4EE5-9C0D-82B54E44D54D}" destId="{2B7EB277-BFD8-4529-A8EA-48FB62AF2F43}" srcOrd="1" destOrd="0" presId="urn:microsoft.com/office/officeart/2005/8/layout/hierarchy1"/>
    <dgm:cxn modelId="{725B0418-7D15-4A0F-B372-2D835CC2BB83}" type="presParOf" srcId="{2B7EB277-BFD8-4529-A8EA-48FB62AF2F43}" destId="{5AA07B03-542A-4A61-993F-6B295DCA1E5A}" srcOrd="0" destOrd="0" presId="urn:microsoft.com/office/officeart/2005/8/layout/hierarchy1"/>
    <dgm:cxn modelId="{F582D9E1-F4EA-423F-BD44-C03B6620284C}" type="presParOf" srcId="{5AA07B03-542A-4A61-993F-6B295DCA1E5A}" destId="{6C82BDC4-C854-449B-9955-E9D1743EA6CC}" srcOrd="0" destOrd="0" presId="urn:microsoft.com/office/officeart/2005/8/layout/hierarchy1"/>
    <dgm:cxn modelId="{FE711385-609B-4F6E-A7DB-EEE80B9ACEFF}" type="presParOf" srcId="{5AA07B03-542A-4A61-993F-6B295DCA1E5A}" destId="{53DC9D95-A90B-420D-A855-78125E7AE985}" srcOrd="1" destOrd="0" presId="urn:microsoft.com/office/officeart/2005/8/layout/hierarchy1"/>
    <dgm:cxn modelId="{DF818EC1-D7A7-4BDC-A7E6-E017EDAECB34}" type="presParOf" srcId="{2B7EB277-BFD8-4529-A8EA-48FB62AF2F43}" destId="{9C94B112-3E12-420B-B225-0827AA6C2B95}" srcOrd="1" destOrd="0" presId="urn:microsoft.com/office/officeart/2005/8/layout/hierarchy1"/>
    <dgm:cxn modelId="{5E231800-0344-4EEF-B205-2377AACE0100}" type="presParOf" srcId="{2B0F84C3-4508-4B78-A056-FA0BFF3F35F6}" destId="{8A1DE448-CBF9-412A-9D59-70792A61F1E9}" srcOrd="2" destOrd="0" presId="urn:microsoft.com/office/officeart/2005/8/layout/hierarchy1"/>
    <dgm:cxn modelId="{67A521CC-CB9D-46B0-9D70-D890E8F268E0}" type="presParOf" srcId="{2B0F84C3-4508-4B78-A056-FA0BFF3F35F6}" destId="{BFB55B89-6F1C-499C-A841-4A7FF3C824B2}" srcOrd="3" destOrd="0" presId="urn:microsoft.com/office/officeart/2005/8/layout/hierarchy1"/>
    <dgm:cxn modelId="{EB25DB08-2D87-46D3-8C3A-ED753A6E8449}" type="presParOf" srcId="{BFB55B89-6F1C-499C-A841-4A7FF3C824B2}" destId="{51A32830-00FF-4DA0-957D-2237BBED7B3C}" srcOrd="0" destOrd="0" presId="urn:microsoft.com/office/officeart/2005/8/layout/hierarchy1"/>
    <dgm:cxn modelId="{FA1EAAF0-3C5F-477A-8BAA-F852FEA2D3FF}" type="presParOf" srcId="{51A32830-00FF-4DA0-957D-2237BBED7B3C}" destId="{9C826C0C-B43F-427F-B072-AB40AA047F0B}" srcOrd="0" destOrd="0" presId="urn:microsoft.com/office/officeart/2005/8/layout/hierarchy1"/>
    <dgm:cxn modelId="{96EF842C-2066-43C4-B188-C437F8C89DEC}" type="presParOf" srcId="{51A32830-00FF-4DA0-957D-2237BBED7B3C}" destId="{0E40976A-AF86-4F04-B50D-A8133EDBC5E8}" srcOrd="1" destOrd="0" presId="urn:microsoft.com/office/officeart/2005/8/layout/hierarchy1"/>
    <dgm:cxn modelId="{8CE662A2-33EA-4E5E-9909-7DB4CEBE3469}" type="presParOf" srcId="{BFB55B89-6F1C-499C-A841-4A7FF3C824B2}" destId="{D5B02DA5-096B-41C4-9D3B-DB222477CEC8}" srcOrd="1" destOrd="0" presId="urn:microsoft.com/office/officeart/2005/8/layout/hierarchy1"/>
    <dgm:cxn modelId="{0A2B8218-A3D0-4246-878D-314626268596}" type="presParOf" srcId="{D5B02DA5-096B-41C4-9D3B-DB222477CEC8}" destId="{4DD75EC6-9C8A-42D0-9A4C-9D71C530B9FD}" srcOrd="0" destOrd="0" presId="urn:microsoft.com/office/officeart/2005/8/layout/hierarchy1"/>
    <dgm:cxn modelId="{AAD5A685-7353-4EE7-B131-4858E7884D0E}" type="presParOf" srcId="{D5B02DA5-096B-41C4-9D3B-DB222477CEC8}" destId="{D9291486-073A-453B-B590-E98E67DDFA79}" srcOrd="1" destOrd="0" presId="urn:microsoft.com/office/officeart/2005/8/layout/hierarchy1"/>
    <dgm:cxn modelId="{261AF30F-FFDE-4F60-94AF-3D205F6D7C8D}" type="presParOf" srcId="{D9291486-073A-453B-B590-E98E67DDFA79}" destId="{A5D20A8F-036B-44F7-8EED-E07FD96FD3EE}" srcOrd="0" destOrd="0" presId="urn:microsoft.com/office/officeart/2005/8/layout/hierarchy1"/>
    <dgm:cxn modelId="{3ABA2E73-8A85-4F4D-9882-EE0BAA6DCCBC}" type="presParOf" srcId="{A5D20A8F-036B-44F7-8EED-E07FD96FD3EE}" destId="{D3607AC5-E1F7-414C-B5CD-E7931C44CAB7}" srcOrd="0" destOrd="0" presId="urn:microsoft.com/office/officeart/2005/8/layout/hierarchy1"/>
    <dgm:cxn modelId="{9C76F74B-5190-4D3F-9118-D6771F1425C8}" type="presParOf" srcId="{A5D20A8F-036B-44F7-8EED-E07FD96FD3EE}" destId="{7778C609-CDAF-4056-A8DB-11D57A16CF3C}" srcOrd="1" destOrd="0" presId="urn:microsoft.com/office/officeart/2005/8/layout/hierarchy1"/>
    <dgm:cxn modelId="{5A26CA9D-56B7-4ED4-A97A-E73A8AC0B544}" type="presParOf" srcId="{D9291486-073A-453B-B590-E98E67DDFA79}" destId="{68A921A7-E622-4E7D-AAAD-11F3C89750E4}"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DD75EC6-9C8A-42D0-9A4C-9D71C530B9FD}">
      <dsp:nvSpPr>
        <dsp:cNvPr id="0" name=""/>
        <dsp:cNvSpPr/>
      </dsp:nvSpPr>
      <dsp:spPr>
        <a:xfrm>
          <a:off x="9200051" y="1368074"/>
          <a:ext cx="130852" cy="1072202"/>
        </a:xfrm>
        <a:custGeom>
          <a:avLst/>
          <a:gdLst/>
          <a:ahLst/>
          <a:cxnLst/>
          <a:rect l="0" t="0" r="0" b="0"/>
          <a:pathLst>
            <a:path>
              <a:moveTo>
                <a:pt x="0" y="0"/>
              </a:moveTo>
              <a:lnTo>
                <a:pt x="0" y="935677"/>
              </a:lnTo>
              <a:lnTo>
                <a:pt x="130852" y="935677"/>
              </a:lnTo>
              <a:lnTo>
                <a:pt x="130852" y="1072202"/>
              </a:lnTo>
            </a:path>
          </a:pathLst>
        </a:custGeom>
        <a:noFill/>
        <a:ln w="12700" cap="flat" cmpd="sng" algn="ctr">
          <a:solidFill>
            <a:schemeClr val="accent6">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A1DE448-CBF9-412A-9D59-70792A61F1E9}">
      <dsp:nvSpPr>
        <dsp:cNvPr id="0" name=""/>
        <dsp:cNvSpPr/>
      </dsp:nvSpPr>
      <dsp:spPr>
        <a:xfrm>
          <a:off x="6652593" y="344544"/>
          <a:ext cx="2547457" cy="383382"/>
        </a:xfrm>
        <a:custGeom>
          <a:avLst/>
          <a:gdLst/>
          <a:ahLst/>
          <a:cxnLst/>
          <a:rect l="0" t="0" r="0" b="0"/>
          <a:pathLst>
            <a:path>
              <a:moveTo>
                <a:pt x="0" y="0"/>
              </a:moveTo>
              <a:lnTo>
                <a:pt x="0" y="246857"/>
              </a:lnTo>
              <a:lnTo>
                <a:pt x="2547457" y="246857"/>
              </a:lnTo>
              <a:lnTo>
                <a:pt x="2547457" y="383382"/>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3319AF4-6932-48E0-89F2-846DF75998AA}">
      <dsp:nvSpPr>
        <dsp:cNvPr id="0" name=""/>
        <dsp:cNvSpPr/>
      </dsp:nvSpPr>
      <dsp:spPr>
        <a:xfrm>
          <a:off x="5587517" y="1950216"/>
          <a:ext cx="91440" cy="401453"/>
        </a:xfrm>
        <a:custGeom>
          <a:avLst/>
          <a:gdLst/>
          <a:ahLst/>
          <a:cxnLst/>
          <a:rect l="0" t="0" r="0" b="0"/>
          <a:pathLst>
            <a:path>
              <a:moveTo>
                <a:pt x="119848" y="0"/>
              </a:moveTo>
              <a:lnTo>
                <a:pt x="119848" y="264928"/>
              </a:lnTo>
              <a:lnTo>
                <a:pt x="45720" y="264928"/>
              </a:lnTo>
              <a:lnTo>
                <a:pt x="45720" y="401453"/>
              </a:lnTo>
            </a:path>
          </a:pathLst>
        </a:custGeom>
        <a:noFill/>
        <a:ln w="12700" cap="flat" cmpd="sng" algn="ctr">
          <a:solidFill>
            <a:schemeClr val="accent6">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4F9186E-C313-4114-995B-B823BD512284}">
      <dsp:nvSpPr>
        <dsp:cNvPr id="0" name=""/>
        <dsp:cNvSpPr/>
      </dsp:nvSpPr>
      <dsp:spPr>
        <a:xfrm>
          <a:off x="4047181" y="991846"/>
          <a:ext cx="1660184" cy="485986"/>
        </a:xfrm>
        <a:custGeom>
          <a:avLst/>
          <a:gdLst/>
          <a:ahLst/>
          <a:cxnLst/>
          <a:rect l="0" t="0" r="0" b="0"/>
          <a:pathLst>
            <a:path>
              <a:moveTo>
                <a:pt x="0" y="0"/>
              </a:moveTo>
              <a:lnTo>
                <a:pt x="0" y="349460"/>
              </a:lnTo>
              <a:lnTo>
                <a:pt x="1660184" y="349460"/>
              </a:lnTo>
              <a:lnTo>
                <a:pt x="1660184" y="485986"/>
              </a:lnTo>
            </a:path>
          </a:pathLst>
        </a:custGeom>
        <a:noFill/>
        <a:ln w="12700" cap="flat" cmpd="sng" algn="ctr">
          <a:solidFill>
            <a:schemeClr val="accent6">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CEBF87E-C668-4229-A21C-93FA176F622E}">
      <dsp:nvSpPr>
        <dsp:cNvPr id="0" name=""/>
        <dsp:cNvSpPr/>
      </dsp:nvSpPr>
      <dsp:spPr>
        <a:xfrm>
          <a:off x="1977247" y="1838479"/>
          <a:ext cx="100773" cy="420141"/>
        </a:xfrm>
        <a:custGeom>
          <a:avLst/>
          <a:gdLst/>
          <a:ahLst/>
          <a:cxnLst/>
          <a:rect l="0" t="0" r="0" b="0"/>
          <a:pathLst>
            <a:path>
              <a:moveTo>
                <a:pt x="0" y="0"/>
              </a:moveTo>
              <a:lnTo>
                <a:pt x="0" y="283616"/>
              </a:lnTo>
              <a:lnTo>
                <a:pt x="100773" y="283616"/>
              </a:lnTo>
              <a:lnTo>
                <a:pt x="100773" y="420141"/>
              </a:lnTo>
            </a:path>
          </a:pathLst>
        </a:custGeom>
        <a:noFill/>
        <a:ln w="12700" cap="flat" cmpd="sng" algn="ctr">
          <a:solidFill>
            <a:schemeClr val="accent6">
              <a:tint val="5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27663AB-EFD8-4941-B9F8-7E0F67A4128B}">
      <dsp:nvSpPr>
        <dsp:cNvPr id="0" name=""/>
        <dsp:cNvSpPr/>
      </dsp:nvSpPr>
      <dsp:spPr>
        <a:xfrm>
          <a:off x="1977247" y="991846"/>
          <a:ext cx="2069934" cy="482925"/>
        </a:xfrm>
        <a:custGeom>
          <a:avLst/>
          <a:gdLst/>
          <a:ahLst/>
          <a:cxnLst/>
          <a:rect l="0" t="0" r="0" b="0"/>
          <a:pathLst>
            <a:path>
              <a:moveTo>
                <a:pt x="2069934" y="0"/>
              </a:moveTo>
              <a:lnTo>
                <a:pt x="2069934" y="346400"/>
              </a:lnTo>
              <a:lnTo>
                <a:pt x="0" y="346400"/>
              </a:lnTo>
              <a:lnTo>
                <a:pt x="0" y="482925"/>
              </a:lnTo>
            </a:path>
          </a:pathLst>
        </a:custGeom>
        <a:noFill/>
        <a:ln w="12700" cap="flat" cmpd="sng" algn="ctr">
          <a:solidFill>
            <a:schemeClr val="accent6">
              <a:tint val="7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8D5988-B575-487D-B882-E82DC2F34B71}">
      <dsp:nvSpPr>
        <dsp:cNvPr id="0" name=""/>
        <dsp:cNvSpPr/>
      </dsp:nvSpPr>
      <dsp:spPr>
        <a:xfrm>
          <a:off x="4047181" y="344544"/>
          <a:ext cx="2605412" cy="378834"/>
        </a:xfrm>
        <a:custGeom>
          <a:avLst/>
          <a:gdLst/>
          <a:ahLst/>
          <a:cxnLst/>
          <a:rect l="0" t="0" r="0" b="0"/>
          <a:pathLst>
            <a:path>
              <a:moveTo>
                <a:pt x="2605412" y="0"/>
              </a:moveTo>
              <a:lnTo>
                <a:pt x="2605412" y="242309"/>
              </a:lnTo>
              <a:lnTo>
                <a:pt x="0" y="242309"/>
              </a:lnTo>
              <a:lnTo>
                <a:pt x="0" y="378834"/>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9ACD91D-BDA9-4991-89F0-17740BE1B128}">
      <dsp:nvSpPr>
        <dsp:cNvPr id="0" name=""/>
        <dsp:cNvSpPr/>
      </dsp:nvSpPr>
      <dsp:spPr>
        <a:xfrm>
          <a:off x="5304208" y="27151"/>
          <a:ext cx="2696770" cy="317392"/>
        </a:xfrm>
        <a:prstGeom prst="roundRect">
          <a:avLst>
            <a:gd name="adj" fmla="val 10000"/>
          </a:avLst>
        </a:prstGeom>
        <a:gradFill rotWithShape="0">
          <a:gsLst>
            <a:gs pos="0">
              <a:schemeClr val="accent6">
                <a:alpha val="80000"/>
                <a:hueOff val="0"/>
                <a:satOff val="0"/>
                <a:lumOff val="0"/>
                <a:alphaOff val="0"/>
                <a:lumMod val="110000"/>
                <a:satMod val="105000"/>
                <a:tint val="67000"/>
              </a:schemeClr>
            </a:gs>
            <a:gs pos="50000">
              <a:schemeClr val="accent6">
                <a:alpha val="80000"/>
                <a:hueOff val="0"/>
                <a:satOff val="0"/>
                <a:lumOff val="0"/>
                <a:alphaOff val="0"/>
                <a:lumMod val="105000"/>
                <a:satMod val="103000"/>
                <a:tint val="73000"/>
              </a:schemeClr>
            </a:gs>
            <a:gs pos="100000">
              <a:schemeClr val="accent6">
                <a:alpha val="8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C2FD73A9-742A-4F06-AF1F-FB9BD13ACC71}">
      <dsp:nvSpPr>
        <dsp:cNvPr id="0" name=""/>
        <dsp:cNvSpPr/>
      </dsp:nvSpPr>
      <dsp:spPr>
        <a:xfrm>
          <a:off x="5467956" y="182711"/>
          <a:ext cx="2696770" cy="317392"/>
        </a:xfrm>
        <a:prstGeom prst="roundRect">
          <a:avLst>
            <a:gd name="adj" fmla="val 10000"/>
          </a:avLst>
        </a:prstGeom>
        <a:solidFill>
          <a:schemeClr val="lt1">
            <a:alpha val="90000"/>
            <a:hueOff val="0"/>
            <a:satOff val="0"/>
            <a:lumOff val="0"/>
            <a:alphaOff val="0"/>
          </a:schemeClr>
        </a:solid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s-SV" sz="1200" b="1" kern="1200" dirty="0" smtClean="0">
              <a:latin typeface="Arial" panose="020B0604020202020204" pitchFamily="34" charset="0"/>
              <a:cs typeface="Arial" panose="020B0604020202020204" pitchFamily="34" charset="0"/>
            </a:rPr>
            <a:t>Sector Público No Financiero SPNF</a:t>
          </a:r>
          <a:endParaRPr lang="es-SV" sz="1200" b="1" kern="1200" dirty="0">
            <a:latin typeface="Arial" panose="020B0604020202020204" pitchFamily="34" charset="0"/>
            <a:cs typeface="Arial" panose="020B0604020202020204" pitchFamily="34" charset="0"/>
          </a:endParaRPr>
        </a:p>
      </dsp:txBody>
      <dsp:txXfrm>
        <a:off x="5477252" y="192007"/>
        <a:ext cx="2678178" cy="298800"/>
      </dsp:txXfrm>
    </dsp:sp>
    <dsp:sp modelId="{3BA02DDF-F748-4627-9901-0D2380064ED4}">
      <dsp:nvSpPr>
        <dsp:cNvPr id="0" name=""/>
        <dsp:cNvSpPr/>
      </dsp:nvSpPr>
      <dsp:spPr>
        <a:xfrm>
          <a:off x="3329370" y="723378"/>
          <a:ext cx="1435622" cy="268468"/>
        </a:xfrm>
        <a:prstGeom prst="roundRect">
          <a:avLst>
            <a:gd name="adj" fmla="val 10000"/>
          </a:avLst>
        </a:prstGeom>
        <a:gradFill rotWithShape="0">
          <a:gsLst>
            <a:gs pos="0">
              <a:schemeClr val="accent6">
                <a:alpha val="70000"/>
                <a:hueOff val="0"/>
                <a:satOff val="0"/>
                <a:lumOff val="0"/>
                <a:alphaOff val="0"/>
                <a:lumMod val="110000"/>
                <a:satMod val="105000"/>
                <a:tint val="67000"/>
              </a:schemeClr>
            </a:gs>
            <a:gs pos="50000">
              <a:schemeClr val="accent6">
                <a:alpha val="70000"/>
                <a:hueOff val="0"/>
                <a:satOff val="0"/>
                <a:lumOff val="0"/>
                <a:alphaOff val="0"/>
                <a:lumMod val="105000"/>
                <a:satMod val="103000"/>
                <a:tint val="73000"/>
              </a:schemeClr>
            </a:gs>
            <a:gs pos="100000">
              <a:schemeClr val="accent6">
                <a:alpha val="7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5E7D6DC9-74E3-43E9-9AAE-6C01C7D815CE}">
      <dsp:nvSpPr>
        <dsp:cNvPr id="0" name=""/>
        <dsp:cNvSpPr/>
      </dsp:nvSpPr>
      <dsp:spPr>
        <a:xfrm>
          <a:off x="3493118" y="878939"/>
          <a:ext cx="1435622" cy="268468"/>
        </a:xfrm>
        <a:prstGeom prst="roundRect">
          <a:avLst>
            <a:gd name="adj" fmla="val 10000"/>
          </a:avLst>
        </a:prstGeom>
        <a:solidFill>
          <a:schemeClr val="lt1">
            <a:alpha val="90000"/>
            <a:hueOff val="0"/>
            <a:satOff val="0"/>
            <a:lumOff val="0"/>
            <a:alphaOff val="0"/>
          </a:schemeClr>
        </a:solidFill>
        <a:ln w="6350" cap="flat" cmpd="sng" algn="ctr">
          <a:solidFill>
            <a:schemeClr val="accent6">
              <a:tint val="9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s-SV" sz="1200" b="1" kern="1200" dirty="0" smtClean="0">
              <a:latin typeface="Arial" panose="020B0604020202020204" pitchFamily="34" charset="0"/>
              <a:cs typeface="Arial" panose="020B0604020202020204" pitchFamily="34" charset="0"/>
            </a:rPr>
            <a:t>Gobierno General</a:t>
          </a:r>
          <a:endParaRPr lang="es-SV" sz="1200" b="1" kern="1200" dirty="0">
            <a:latin typeface="Arial" panose="020B0604020202020204" pitchFamily="34" charset="0"/>
            <a:cs typeface="Arial" panose="020B0604020202020204" pitchFamily="34" charset="0"/>
          </a:endParaRPr>
        </a:p>
      </dsp:txBody>
      <dsp:txXfrm>
        <a:off x="3500981" y="886802"/>
        <a:ext cx="1419896" cy="252742"/>
      </dsp:txXfrm>
    </dsp:sp>
    <dsp:sp modelId="{1F232E71-7625-44E3-982C-7B9DB3A790F0}">
      <dsp:nvSpPr>
        <dsp:cNvPr id="0" name=""/>
        <dsp:cNvSpPr/>
      </dsp:nvSpPr>
      <dsp:spPr>
        <a:xfrm>
          <a:off x="1147594" y="1474772"/>
          <a:ext cx="1659306" cy="363706"/>
        </a:xfrm>
        <a:prstGeom prst="roundRect">
          <a:avLst>
            <a:gd name="adj" fmla="val 10000"/>
          </a:avLst>
        </a:prstGeom>
        <a:gradFill rotWithShape="0">
          <a:gsLst>
            <a:gs pos="0">
              <a:schemeClr val="accent6">
                <a:alpha val="50000"/>
                <a:hueOff val="0"/>
                <a:satOff val="0"/>
                <a:lumOff val="0"/>
                <a:alphaOff val="0"/>
                <a:lumMod val="110000"/>
                <a:satMod val="105000"/>
                <a:tint val="67000"/>
              </a:schemeClr>
            </a:gs>
            <a:gs pos="50000">
              <a:schemeClr val="accent6">
                <a:alpha val="50000"/>
                <a:hueOff val="0"/>
                <a:satOff val="0"/>
                <a:lumOff val="0"/>
                <a:alphaOff val="0"/>
                <a:lumMod val="105000"/>
                <a:satMod val="103000"/>
                <a:tint val="73000"/>
              </a:schemeClr>
            </a:gs>
            <a:gs pos="100000">
              <a:schemeClr val="accent6">
                <a:alpha val="5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6EEB60B1-09DD-4B41-AFD4-677978162E58}">
      <dsp:nvSpPr>
        <dsp:cNvPr id="0" name=""/>
        <dsp:cNvSpPr/>
      </dsp:nvSpPr>
      <dsp:spPr>
        <a:xfrm>
          <a:off x="1311342" y="1630333"/>
          <a:ext cx="1659306" cy="363706"/>
        </a:xfrm>
        <a:prstGeom prst="roundRect">
          <a:avLst>
            <a:gd name="adj" fmla="val 10000"/>
          </a:avLst>
        </a:prstGeom>
        <a:solidFill>
          <a:schemeClr val="lt1">
            <a:alpha val="90000"/>
            <a:hueOff val="0"/>
            <a:satOff val="0"/>
            <a:lumOff val="0"/>
            <a:alphaOff val="0"/>
          </a:schemeClr>
        </a:solidFill>
        <a:ln w="6350" cap="flat" cmpd="sng" algn="ctr">
          <a:solidFill>
            <a:schemeClr val="accent6">
              <a:tint val="7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s-SV" sz="1200" b="1" kern="1200" dirty="0" smtClean="0">
              <a:latin typeface="Arial" panose="020B0604020202020204" pitchFamily="34" charset="0"/>
              <a:cs typeface="Arial" panose="020B0604020202020204" pitchFamily="34" charset="0"/>
            </a:rPr>
            <a:t>Gobierno  Central Consolidado</a:t>
          </a:r>
          <a:endParaRPr lang="es-SV" sz="1200" b="1" kern="1200" dirty="0">
            <a:latin typeface="Arial" panose="020B0604020202020204" pitchFamily="34" charset="0"/>
            <a:cs typeface="Arial" panose="020B0604020202020204" pitchFamily="34" charset="0"/>
          </a:endParaRPr>
        </a:p>
      </dsp:txBody>
      <dsp:txXfrm>
        <a:off x="1321995" y="1640986"/>
        <a:ext cx="1638000" cy="342400"/>
      </dsp:txXfrm>
    </dsp:sp>
    <dsp:sp modelId="{6BC5DF06-4589-41A9-8A4A-9B2599698691}">
      <dsp:nvSpPr>
        <dsp:cNvPr id="0" name=""/>
        <dsp:cNvSpPr/>
      </dsp:nvSpPr>
      <dsp:spPr>
        <a:xfrm>
          <a:off x="1034485" y="2258621"/>
          <a:ext cx="2087071" cy="3013586"/>
        </a:xfrm>
        <a:prstGeom prst="roundRect">
          <a:avLst>
            <a:gd name="adj" fmla="val 10000"/>
          </a:avLst>
        </a:prstGeom>
        <a:gradFill rotWithShape="0">
          <a:gsLst>
            <a:gs pos="0">
              <a:schemeClr val="accent6">
                <a:alpha val="30000"/>
                <a:hueOff val="0"/>
                <a:satOff val="0"/>
                <a:lumOff val="0"/>
                <a:alphaOff val="0"/>
                <a:lumMod val="110000"/>
                <a:satMod val="105000"/>
                <a:tint val="67000"/>
              </a:schemeClr>
            </a:gs>
            <a:gs pos="50000">
              <a:schemeClr val="accent6">
                <a:alpha val="30000"/>
                <a:hueOff val="0"/>
                <a:satOff val="0"/>
                <a:lumOff val="0"/>
                <a:alphaOff val="0"/>
                <a:lumMod val="105000"/>
                <a:satMod val="103000"/>
                <a:tint val="73000"/>
              </a:schemeClr>
            </a:gs>
            <a:gs pos="100000">
              <a:schemeClr val="accent6">
                <a:alpha val="3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9A839FEB-5EFD-4A14-A90F-7C04BD710EE5}">
      <dsp:nvSpPr>
        <dsp:cNvPr id="0" name=""/>
        <dsp:cNvSpPr/>
      </dsp:nvSpPr>
      <dsp:spPr>
        <a:xfrm>
          <a:off x="1198233" y="2414181"/>
          <a:ext cx="2087071" cy="3013586"/>
        </a:xfrm>
        <a:prstGeom prst="roundRect">
          <a:avLst>
            <a:gd name="adj" fmla="val 10000"/>
          </a:avLst>
        </a:prstGeom>
        <a:solidFill>
          <a:schemeClr val="lt1">
            <a:alpha val="90000"/>
            <a:hueOff val="0"/>
            <a:satOff val="0"/>
            <a:lumOff val="0"/>
            <a:alphaOff val="0"/>
          </a:schemeClr>
        </a:solidFill>
        <a:ln w="6350" cap="flat" cmpd="sng" algn="ctr">
          <a:solidFill>
            <a:schemeClr val="accent6">
              <a:tint val="5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just"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1. Gobierno Central</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-Órgano Ejecutivo</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-Órgano Legislativo</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-Órgano Judicial</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-Ministerio Público</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-Otras instituciones (C. de C., Tribunales, CNJ)</a:t>
          </a: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2. Otras Instituciones del Gobierno Central</a:t>
          </a:r>
          <a:endParaRPr lang="es-SV" sz="1000" b="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r>
            <a:rPr lang="es-SV" sz="1000" b="0" kern="1200" dirty="0" smtClean="0">
              <a:latin typeface="Arial" panose="020B0604020202020204" pitchFamily="34" charset="0"/>
              <a:cs typeface="Arial" panose="020B0604020202020204" pitchFamily="34" charset="0"/>
            </a:rPr>
            <a:t>- SETEFE</a:t>
          </a:r>
        </a:p>
        <a:p>
          <a:pPr lvl="0" algn="just" defTabSz="444500">
            <a:lnSpc>
              <a:spcPct val="90000"/>
            </a:lnSpc>
            <a:spcBef>
              <a:spcPct val="0"/>
            </a:spcBef>
            <a:spcAft>
              <a:spcPct val="35000"/>
            </a:spcAft>
          </a:pPr>
          <a:r>
            <a:rPr lang="es-SV" sz="1000" b="0" kern="1200" dirty="0" smtClean="0">
              <a:latin typeface="Arial" panose="020B0604020202020204" pitchFamily="34" charset="0"/>
              <a:cs typeface="Arial" panose="020B0604020202020204" pitchFamily="34" charset="0"/>
            </a:rPr>
            <a:t>- FISDL</a:t>
          </a:r>
        </a:p>
        <a:p>
          <a:pPr lvl="0" algn="just" defTabSz="444500">
            <a:lnSpc>
              <a:spcPct val="90000"/>
            </a:lnSpc>
            <a:spcBef>
              <a:spcPct val="0"/>
            </a:spcBef>
            <a:spcAft>
              <a:spcPct val="35000"/>
            </a:spcAft>
          </a:pPr>
          <a:r>
            <a:rPr lang="es-SV" sz="1000" b="0" kern="1200" dirty="0" smtClean="0">
              <a:latin typeface="Arial" panose="020B0604020202020204" pitchFamily="34" charset="0"/>
              <a:cs typeface="Arial" panose="020B0604020202020204" pitchFamily="34" charset="0"/>
            </a:rPr>
            <a:t>- FOVIAL</a:t>
          </a:r>
        </a:p>
        <a:p>
          <a:pPr lvl="0" algn="just" defTabSz="444500">
            <a:lnSpc>
              <a:spcPct val="90000"/>
            </a:lnSpc>
            <a:spcBef>
              <a:spcPct val="0"/>
            </a:spcBef>
            <a:spcAft>
              <a:spcPct val="35000"/>
            </a:spcAft>
          </a:pPr>
          <a:r>
            <a:rPr lang="es-SV" sz="1000" b="0" kern="1200" dirty="0" smtClean="0">
              <a:latin typeface="Arial" panose="020B0604020202020204" pitchFamily="34" charset="0"/>
              <a:cs typeface="Arial" panose="020B0604020202020204" pitchFamily="34" charset="0"/>
            </a:rPr>
            <a:t>- FANTEL</a:t>
          </a:r>
        </a:p>
        <a:p>
          <a:pPr lvl="0" algn="just" defTabSz="444500">
            <a:lnSpc>
              <a:spcPct val="90000"/>
            </a:lnSpc>
            <a:spcBef>
              <a:spcPct val="0"/>
            </a:spcBef>
            <a:spcAft>
              <a:spcPct val="35000"/>
            </a:spcAft>
          </a:pPr>
          <a:r>
            <a:rPr lang="es-SV" sz="1000" b="0" kern="1200" dirty="0" smtClean="0">
              <a:latin typeface="Arial" panose="020B0604020202020204" pitchFamily="34" charset="0"/>
              <a:cs typeface="Arial" panose="020B0604020202020204" pitchFamily="34" charset="0"/>
            </a:rPr>
            <a:t>- FOMILENIO</a:t>
          </a:r>
        </a:p>
      </dsp:txBody>
      <dsp:txXfrm>
        <a:off x="1259361" y="2475309"/>
        <a:ext cx="1964815" cy="2891330"/>
      </dsp:txXfrm>
    </dsp:sp>
    <dsp:sp modelId="{5926DD51-D545-41E8-9D34-5C657746FD5D}">
      <dsp:nvSpPr>
        <dsp:cNvPr id="0" name=""/>
        <dsp:cNvSpPr/>
      </dsp:nvSpPr>
      <dsp:spPr>
        <a:xfrm>
          <a:off x="4342917" y="1477832"/>
          <a:ext cx="2728897" cy="472383"/>
        </a:xfrm>
        <a:prstGeom prst="roundRect">
          <a:avLst>
            <a:gd name="adj" fmla="val 10000"/>
          </a:avLst>
        </a:prstGeom>
        <a:gradFill rotWithShape="0">
          <a:gsLst>
            <a:gs pos="0">
              <a:schemeClr val="accent6">
                <a:alpha val="50000"/>
                <a:hueOff val="0"/>
                <a:satOff val="0"/>
                <a:lumOff val="0"/>
                <a:alphaOff val="0"/>
                <a:lumMod val="110000"/>
                <a:satMod val="105000"/>
                <a:tint val="67000"/>
              </a:schemeClr>
            </a:gs>
            <a:gs pos="50000">
              <a:schemeClr val="accent6">
                <a:alpha val="50000"/>
                <a:hueOff val="0"/>
                <a:satOff val="0"/>
                <a:lumOff val="0"/>
                <a:alphaOff val="0"/>
                <a:lumMod val="105000"/>
                <a:satMod val="103000"/>
                <a:tint val="73000"/>
              </a:schemeClr>
            </a:gs>
            <a:gs pos="100000">
              <a:schemeClr val="accent6">
                <a:alpha val="5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F2F318AE-64CB-4479-A133-5013F8D9488C}">
      <dsp:nvSpPr>
        <dsp:cNvPr id="0" name=""/>
        <dsp:cNvSpPr/>
      </dsp:nvSpPr>
      <dsp:spPr>
        <a:xfrm>
          <a:off x="4506665" y="1633393"/>
          <a:ext cx="2728897" cy="472383"/>
        </a:xfrm>
        <a:prstGeom prst="roundRect">
          <a:avLst>
            <a:gd name="adj" fmla="val 10000"/>
          </a:avLst>
        </a:prstGeom>
        <a:solidFill>
          <a:schemeClr val="lt1">
            <a:alpha val="90000"/>
            <a:hueOff val="0"/>
            <a:satOff val="0"/>
            <a:lumOff val="0"/>
            <a:alphaOff val="0"/>
          </a:schemeClr>
        </a:solidFill>
        <a:ln w="6350" cap="flat" cmpd="sng" algn="ctr">
          <a:solidFill>
            <a:schemeClr val="accent6">
              <a:tint val="7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s-SV" sz="1200" b="1" kern="1200" dirty="0" smtClean="0">
              <a:latin typeface="Arial" panose="020B0604020202020204" pitchFamily="34" charset="0"/>
              <a:cs typeface="Arial" panose="020B0604020202020204" pitchFamily="34" charset="0"/>
            </a:rPr>
            <a:t>Resto del Gobierno General</a:t>
          </a:r>
          <a:endParaRPr lang="es-SV" sz="1200" b="1" kern="1200" dirty="0">
            <a:latin typeface="Arial" panose="020B0604020202020204" pitchFamily="34" charset="0"/>
            <a:cs typeface="Arial" panose="020B0604020202020204" pitchFamily="34" charset="0"/>
          </a:endParaRPr>
        </a:p>
      </dsp:txBody>
      <dsp:txXfrm>
        <a:off x="4520501" y="1647229"/>
        <a:ext cx="2701225" cy="444711"/>
      </dsp:txXfrm>
    </dsp:sp>
    <dsp:sp modelId="{6C82BDC4-C854-449B-9955-E9D1743EA6CC}">
      <dsp:nvSpPr>
        <dsp:cNvPr id="0" name=""/>
        <dsp:cNvSpPr/>
      </dsp:nvSpPr>
      <dsp:spPr>
        <a:xfrm>
          <a:off x="4292132" y="2351669"/>
          <a:ext cx="2682209" cy="3441724"/>
        </a:xfrm>
        <a:prstGeom prst="roundRect">
          <a:avLst>
            <a:gd name="adj" fmla="val 10000"/>
          </a:avLst>
        </a:prstGeom>
        <a:gradFill rotWithShape="0">
          <a:gsLst>
            <a:gs pos="0">
              <a:schemeClr val="accent6">
                <a:alpha val="30000"/>
                <a:hueOff val="0"/>
                <a:satOff val="0"/>
                <a:lumOff val="0"/>
                <a:alphaOff val="0"/>
                <a:lumMod val="110000"/>
                <a:satMod val="105000"/>
                <a:tint val="67000"/>
              </a:schemeClr>
            </a:gs>
            <a:gs pos="50000">
              <a:schemeClr val="accent6">
                <a:alpha val="30000"/>
                <a:hueOff val="0"/>
                <a:satOff val="0"/>
                <a:lumOff val="0"/>
                <a:alphaOff val="0"/>
                <a:lumMod val="105000"/>
                <a:satMod val="103000"/>
                <a:tint val="73000"/>
              </a:schemeClr>
            </a:gs>
            <a:gs pos="100000">
              <a:schemeClr val="accent6">
                <a:alpha val="3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53DC9D95-A90B-420D-A855-78125E7AE985}">
      <dsp:nvSpPr>
        <dsp:cNvPr id="0" name=""/>
        <dsp:cNvSpPr/>
      </dsp:nvSpPr>
      <dsp:spPr>
        <a:xfrm>
          <a:off x="4455880" y="2507230"/>
          <a:ext cx="2682209" cy="3441724"/>
        </a:xfrm>
        <a:prstGeom prst="roundRect">
          <a:avLst>
            <a:gd name="adj" fmla="val 10000"/>
          </a:avLst>
        </a:prstGeom>
        <a:solidFill>
          <a:schemeClr val="lt1">
            <a:alpha val="90000"/>
            <a:hueOff val="0"/>
            <a:satOff val="0"/>
            <a:lumOff val="0"/>
            <a:alphaOff val="0"/>
          </a:schemeClr>
        </a:solidFill>
        <a:ln w="6350" cap="flat" cmpd="sng" algn="ctr">
          <a:solidFill>
            <a:schemeClr val="accent6">
              <a:tint val="5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1. ISSS (IVM y Régimen de Salud)</a:t>
          </a: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2. Municipalidades (Transferencias FODES e Ingresos Propios</a:t>
          </a:r>
          <a:r>
            <a:rPr lang="es-SV" sz="1000" kern="1200" dirty="0" smtClean="0">
              <a:latin typeface="Arial" panose="020B0604020202020204" pitchFamily="34" charset="0"/>
              <a:cs typeface="Arial" panose="020B0604020202020204" pitchFamily="34" charset="0"/>
            </a:rPr>
            <a:t>)</a:t>
          </a: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3. Otras Instituciones Descentralizadas</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Caja mutual</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ENA</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CENTA</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INDES</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ISTU</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CORSATUR</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CONACYT</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Hospitales</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UES</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ISTA</a:t>
          </a:r>
        </a:p>
        <a:p>
          <a:pPr lvl="0" algn="just" defTabSz="444500">
            <a:lnSpc>
              <a:spcPct val="90000"/>
            </a:lnSpc>
            <a:spcBef>
              <a:spcPct val="0"/>
            </a:spcBef>
            <a:spcAft>
              <a:spcPct val="35000"/>
            </a:spcAft>
          </a:pPr>
          <a:r>
            <a:rPr lang="es-SV" sz="1000" kern="1200" dirty="0" smtClean="0">
              <a:latin typeface="Arial" panose="020B0604020202020204" pitchFamily="34" charset="0"/>
              <a:cs typeface="Arial" panose="020B0604020202020204" pitchFamily="34" charset="0"/>
            </a:rPr>
            <a:t>- Otros</a:t>
          </a: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endParaRPr lang="es-SV" sz="1000" kern="1200" dirty="0" smtClean="0">
            <a:latin typeface="Arial" panose="020B0604020202020204" pitchFamily="34" charset="0"/>
            <a:cs typeface="Arial" panose="020B0604020202020204" pitchFamily="34" charset="0"/>
          </a:endParaRPr>
        </a:p>
        <a:p>
          <a:pPr lvl="0" algn="just" defTabSz="444500">
            <a:lnSpc>
              <a:spcPct val="90000"/>
            </a:lnSpc>
            <a:spcBef>
              <a:spcPct val="0"/>
            </a:spcBef>
            <a:spcAft>
              <a:spcPct val="35000"/>
            </a:spcAft>
          </a:pPr>
          <a:endParaRPr lang="es-SV" sz="1000" kern="1200" dirty="0">
            <a:latin typeface="Arial" panose="020B0604020202020204" pitchFamily="34" charset="0"/>
            <a:cs typeface="Arial" panose="020B0604020202020204" pitchFamily="34" charset="0"/>
          </a:endParaRPr>
        </a:p>
      </dsp:txBody>
      <dsp:txXfrm>
        <a:off x="4534439" y="2585789"/>
        <a:ext cx="2525091" cy="3284606"/>
      </dsp:txXfrm>
    </dsp:sp>
    <dsp:sp modelId="{9C826C0C-B43F-427F-B072-AB40AA047F0B}">
      <dsp:nvSpPr>
        <dsp:cNvPr id="0" name=""/>
        <dsp:cNvSpPr/>
      </dsp:nvSpPr>
      <dsp:spPr>
        <a:xfrm>
          <a:off x="8430283" y="727926"/>
          <a:ext cx="1539535" cy="640148"/>
        </a:xfrm>
        <a:prstGeom prst="roundRect">
          <a:avLst>
            <a:gd name="adj" fmla="val 10000"/>
          </a:avLst>
        </a:prstGeom>
        <a:gradFill rotWithShape="0">
          <a:gsLst>
            <a:gs pos="0">
              <a:schemeClr val="accent6">
                <a:alpha val="70000"/>
                <a:hueOff val="0"/>
                <a:satOff val="0"/>
                <a:lumOff val="0"/>
                <a:alphaOff val="0"/>
                <a:lumMod val="110000"/>
                <a:satMod val="105000"/>
                <a:tint val="67000"/>
              </a:schemeClr>
            </a:gs>
            <a:gs pos="50000">
              <a:schemeClr val="accent6">
                <a:alpha val="70000"/>
                <a:hueOff val="0"/>
                <a:satOff val="0"/>
                <a:lumOff val="0"/>
                <a:alphaOff val="0"/>
                <a:lumMod val="105000"/>
                <a:satMod val="103000"/>
                <a:tint val="73000"/>
              </a:schemeClr>
            </a:gs>
            <a:gs pos="100000">
              <a:schemeClr val="accent6">
                <a:alpha val="7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0E40976A-AF86-4F04-B50D-A8133EDBC5E8}">
      <dsp:nvSpPr>
        <dsp:cNvPr id="0" name=""/>
        <dsp:cNvSpPr/>
      </dsp:nvSpPr>
      <dsp:spPr>
        <a:xfrm>
          <a:off x="8594031" y="883487"/>
          <a:ext cx="1539535" cy="640148"/>
        </a:xfrm>
        <a:prstGeom prst="roundRect">
          <a:avLst>
            <a:gd name="adj" fmla="val 10000"/>
          </a:avLst>
        </a:prstGeom>
        <a:solidFill>
          <a:schemeClr val="lt1">
            <a:alpha val="90000"/>
            <a:hueOff val="0"/>
            <a:satOff val="0"/>
            <a:lumOff val="0"/>
            <a:alphaOff val="0"/>
          </a:schemeClr>
        </a:solidFill>
        <a:ln w="6350" cap="flat" cmpd="sng" algn="ctr">
          <a:solidFill>
            <a:schemeClr val="accent6">
              <a:tint val="9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s-SV" sz="1200" b="1" kern="1200" dirty="0" smtClean="0">
              <a:latin typeface="Arial" panose="020B0604020202020204" pitchFamily="34" charset="0"/>
              <a:cs typeface="Arial" panose="020B0604020202020204" pitchFamily="34" charset="0"/>
            </a:rPr>
            <a:t>Empresas Públicas No Financieras</a:t>
          </a:r>
          <a:endParaRPr lang="es-SV" sz="1200" b="1" kern="1200" dirty="0">
            <a:latin typeface="Arial" panose="020B0604020202020204" pitchFamily="34" charset="0"/>
            <a:cs typeface="Arial" panose="020B0604020202020204" pitchFamily="34" charset="0"/>
          </a:endParaRPr>
        </a:p>
      </dsp:txBody>
      <dsp:txXfrm>
        <a:off x="8612780" y="902236"/>
        <a:ext cx="1502037" cy="602650"/>
      </dsp:txXfrm>
    </dsp:sp>
    <dsp:sp modelId="{D3607AC5-E1F7-414C-B5CD-E7931C44CAB7}">
      <dsp:nvSpPr>
        <dsp:cNvPr id="0" name=""/>
        <dsp:cNvSpPr/>
      </dsp:nvSpPr>
      <dsp:spPr>
        <a:xfrm>
          <a:off x="8594037" y="2440277"/>
          <a:ext cx="1473733" cy="935820"/>
        </a:xfrm>
        <a:prstGeom prst="roundRect">
          <a:avLst>
            <a:gd name="adj" fmla="val 10000"/>
          </a:avLst>
        </a:prstGeom>
        <a:gradFill rotWithShape="0">
          <a:gsLst>
            <a:gs pos="0">
              <a:schemeClr val="accent6">
                <a:alpha val="50000"/>
                <a:hueOff val="0"/>
                <a:satOff val="0"/>
                <a:lumOff val="0"/>
                <a:alphaOff val="0"/>
                <a:lumMod val="110000"/>
                <a:satMod val="105000"/>
                <a:tint val="67000"/>
              </a:schemeClr>
            </a:gs>
            <a:gs pos="50000">
              <a:schemeClr val="accent6">
                <a:alpha val="50000"/>
                <a:hueOff val="0"/>
                <a:satOff val="0"/>
                <a:lumOff val="0"/>
                <a:alphaOff val="0"/>
                <a:lumMod val="105000"/>
                <a:satMod val="103000"/>
                <a:tint val="73000"/>
              </a:schemeClr>
            </a:gs>
            <a:gs pos="100000">
              <a:schemeClr val="accent6">
                <a:alpha val="50000"/>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sp>
    <dsp:sp modelId="{7778C609-CDAF-4056-A8DB-11D57A16CF3C}">
      <dsp:nvSpPr>
        <dsp:cNvPr id="0" name=""/>
        <dsp:cNvSpPr/>
      </dsp:nvSpPr>
      <dsp:spPr>
        <a:xfrm>
          <a:off x="8757785" y="2595838"/>
          <a:ext cx="1473733" cy="935820"/>
        </a:xfrm>
        <a:prstGeom prst="roundRect">
          <a:avLst>
            <a:gd name="adj" fmla="val 10000"/>
          </a:avLst>
        </a:prstGeom>
        <a:solidFill>
          <a:schemeClr val="lt1">
            <a:alpha val="90000"/>
            <a:hueOff val="0"/>
            <a:satOff val="0"/>
            <a:lumOff val="0"/>
            <a:alphaOff val="0"/>
          </a:schemeClr>
        </a:solidFill>
        <a:ln w="6350" cap="flat" cmpd="sng" algn="ctr">
          <a:solidFill>
            <a:schemeClr val="accent6">
              <a:tint val="70000"/>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l"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 CEL</a:t>
          </a:r>
        </a:p>
        <a:p>
          <a:pPr lvl="0" algn="l"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 CEPA</a:t>
          </a:r>
        </a:p>
        <a:p>
          <a:pPr lvl="0" algn="l"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 ANDA</a:t>
          </a:r>
        </a:p>
        <a:p>
          <a:pPr lvl="0" algn="l" defTabSz="444500">
            <a:lnSpc>
              <a:spcPct val="90000"/>
            </a:lnSpc>
            <a:spcBef>
              <a:spcPct val="0"/>
            </a:spcBef>
            <a:spcAft>
              <a:spcPct val="35000"/>
            </a:spcAft>
          </a:pPr>
          <a:r>
            <a:rPr lang="es-SV" sz="1000" b="1" kern="1200" dirty="0" smtClean="0">
              <a:latin typeface="Arial" panose="020B0604020202020204" pitchFamily="34" charset="0"/>
              <a:cs typeface="Arial" panose="020B0604020202020204" pitchFamily="34" charset="0"/>
            </a:rPr>
            <a:t>- LNB</a:t>
          </a:r>
          <a:endParaRPr lang="es-SV" sz="1000" b="1" kern="1200" dirty="0">
            <a:latin typeface="Arial" panose="020B0604020202020204" pitchFamily="34" charset="0"/>
            <a:cs typeface="Arial" panose="020B0604020202020204" pitchFamily="34" charset="0"/>
          </a:endParaRPr>
        </a:p>
      </dsp:txBody>
      <dsp:txXfrm>
        <a:off x="8785194" y="2623247"/>
        <a:ext cx="1418915" cy="881002"/>
      </dsp:txXfrm>
    </dsp:sp>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381000</xdr:colOff>
      <xdr:row>6</xdr:row>
      <xdr:rowOff>148167</xdr:rowOff>
    </xdr:from>
    <xdr:to>
      <xdr:col>15</xdr:col>
      <xdr:colOff>562971</xdr:colOff>
      <xdr:row>42</xdr:row>
      <xdr:rowOff>18932</xdr:rowOff>
    </xdr:to>
    <xdr:sp macro="" textlink="">
      <xdr:nvSpPr>
        <xdr:cNvPr id="3" name="CuadroTexto 9"/>
        <xdr:cNvSpPr txBox="1"/>
      </xdr:nvSpPr>
      <xdr:spPr>
        <a:xfrm>
          <a:off x="1143000" y="1402292"/>
          <a:ext cx="10849971" cy="6728765"/>
        </a:xfrm>
        <a:prstGeom prst="rect">
          <a:avLst/>
        </a:prstGeom>
        <a:noFill/>
      </xdr:spPr>
      <xdr:txBody>
        <a:bodyPr wrap="square" rtlCol="0">
          <a:spAutoFit/>
        </a:bodyPr>
        <a:lstStyle>
          <a:defPPr>
            <a:defRPr lang="es-SV"/>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SV" sz="1600">
              <a:latin typeface="Arial" panose="020B0604020202020204" pitchFamily="34" charset="0"/>
              <a:cs typeface="Arial" panose="020B0604020202020204" pitchFamily="34" charset="0"/>
            </a:rPr>
            <a:t>	</a:t>
          </a:r>
          <a:r>
            <a:rPr lang="es-SV" sz="1800">
              <a:latin typeface="Arial" panose="020B0604020202020204" pitchFamily="34" charset="0"/>
              <a:cs typeface="Arial" panose="020B0604020202020204" pitchFamily="34" charset="0"/>
            </a:rPr>
            <a:t>La presente publicación sobre las variables e indicadores más relevantes de las Finanzas Públicas de El Salvador, tiene como propósito contribuir al desarrollo de una cultura de transparencia  y de acceso público a la información fiscal que produce el Ministerio de Hacienda.</a:t>
          </a:r>
        </a:p>
        <a:p>
          <a:pPr algn="just"/>
          <a:endParaRPr lang="es-SV" sz="1800">
            <a:latin typeface="Arial" panose="020B0604020202020204" pitchFamily="34" charset="0"/>
            <a:cs typeface="Arial" panose="020B0604020202020204" pitchFamily="34" charset="0"/>
          </a:endParaRPr>
        </a:p>
        <a:p>
          <a:pPr algn="just"/>
          <a:r>
            <a:rPr lang="es-SV" sz="1800">
              <a:latin typeface="Arial" panose="020B0604020202020204" pitchFamily="34" charset="0"/>
              <a:cs typeface="Arial" panose="020B0604020202020204" pitchFamily="34" charset="0"/>
            </a:rPr>
            <a:t>	Las estadísticas fiscales consolidadas se presentan a niveles del Sector Público No Financiero (SPNF) y del Gobierno Central (GOES). El primero está conformado por el Gobierno  Central Consolidado, el Resto del Gobierno General y las Empresas Públicas No Financieras, y el segundo, comprende a los tres Órganos del Estado, el Ministerio Público, la Corte de Cuentas de la República, el Tribunal Suprema Electoral, el Tribunal de Ética Gubernamental, entre otros. Incluyendo además, otras entidades con presupuestos extraordinarios y fondos especiales.</a:t>
          </a:r>
        </a:p>
        <a:p>
          <a:pPr algn="just"/>
          <a:endParaRPr lang="es-SV" sz="1800">
            <a:latin typeface="Arial" panose="020B0604020202020204" pitchFamily="34" charset="0"/>
            <a:cs typeface="Arial" panose="020B0604020202020204" pitchFamily="34" charset="0"/>
          </a:endParaRPr>
        </a:p>
        <a:p>
          <a:pPr algn="just"/>
          <a:r>
            <a:rPr lang="es-SV" sz="1800">
              <a:latin typeface="Arial" panose="020B0604020202020204" pitchFamily="34" charset="0"/>
              <a:cs typeface="Arial" panose="020B0604020202020204" pitchFamily="34" charset="0"/>
            </a:rPr>
            <a:t>	Cuando las cifras fiscales se presentan con </a:t>
          </a:r>
          <a:r>
            <a:rPr lang="es-SV" sz="1800" b="1">
              <a:latin typeface="Arial" panose="020B0604020202020204" pitchFamily="34" charset="0"/>
              <a:cs typeface="Arial" panose="020B0604020202020204" pitchFamily="34" charset="0"/>
            </a:rPr>
            <a:t>base caja </a:t>
          </a:r>
          <a:r>
            <a:rPr lang="es-SV" sz="1800">
              <a:latin typeface="Arial" panose="020B0604020202020204" pitchFamily="34" charset="0"/>
              <a:cs typeface="Arial" panose="020B0604020202020204" pitchFamily="34" charset="0"/>
            </a:rPr>
            <a:t>significa que los ingresos y gastos se registran cuando los primeros se reciben y los segundos se cancelan en efectivo; mientras que las cifras con </a:t>
          </a:r>
          <a:r>
            <a:rPr lang="es-SV" sz="1800" b="1">
              <a:latin typeface="Arial" panose="020B0604020202020204" pitchFamily="34" charset="0"/>
              <a:cs typeface="Arial" panose="020B0604020202020204" pitchFamily="34" charset="0"/>
            </a:rPr>
            <a:t>base devengado</a:t>
          </a:r>
          <a:r>
            <a:rPr lang="es-SV" sz="1800">
              <a:latin typeface="Arial" panose="020B0604020202020204" pitchFamily="34" charset="0"/>
              <a:cs typeface="Arial" panose="020B0604020202020204" pitchFamily="34" charset="0"/>
            </a:rPr>
            <a:t> se registran independientemente de la percepción en efectivo o del pago de las obligaciones adquiridas.</a:t>
          </a:r>
        </a:p>
        <a:p>
          <a:pPr algn="just"/>
          <a:endParaRPr lang="es-SV" sz="1800">
            <a:latin typeface="Arial" panose="020B0604020202020204" pitchFamily="34" charset="0"/>
            <a:cs typeface="Arial" panose="020B0604020202020204" pitchFamily="34" charset="0"/>
          </a:endParaRPr>
        </a:p>
        <a:p>
          <a:pPr algn="just"/>
          <a:r>
            <a:rPr lang="es-SV" sz="1800">
              <a:latin typeface="Arial" panose="020B0604020202020204" pitchFamily="34" charset="0"/>
              <a:cs typeface="Arial" panose="020B0604020202020204" pitchFamily="34" charset="0"/>
            </a:rPr>
            <a:t>	El documento “</a:t>
          </a:r>
          <a:r>
            <a:rPr lang="es-SV" sz="1800" b="1">
              <a:latin typeface="Arial" panose="020B0604020202020204" pitchFamily="34" charset="0"/>
              <a:cs typeface="Arial" panose="020B0604020202020204" pitchFamily="34" charset="0"/>
            </a:rPr>
            <a:t>Estadísticas básicas sobre las Finanzas Públicas a junio 2019</a:t>
          </a:r>
          <a:r>
            <a:rPr lang="es-SV" sz="1800">
              <a:latin typeface="Arial" panose="020B0604020202020204" pitchFamily="34" charset="0"/>
              <a:cs typeface="Arial" panose="020B0604020202020204" pitchFamily="34" charset="0"/>
            </a:rPr>
            <a:t>” se encuentra organizado en cinco apartados: I. Situación Financiera del Sector Público No Financiero (SPNF); II. Ingresos Fiscales; III. Ejecución Presupuestaria; IV. Ejecución de la Inversión Pública; y V. Deuda Pública del SPNF.</a:t>
          </a:r>
        </a:p>
        <a:p>
          <a:pPr algn="just"/>
          <a:endParaRPr lang="es-SV" sz="1800">
            <a:latin typeface="Arial" panose="020B0604020202020204" pitchFamily="34" charset="0"/>
            <a:cs typeface="Arial" panose="020B0604020202020204" pitchFamily="34" charset="0"/>
          </a:endParaRPr>
        </a:p>
        <a:p>
          <a:pPr algn="just"/>
          <a:r>
            <a:rPr lang="es-SV" sz="1800">
              <a:latin typeface="Arial" panose="020B0604020202020204" pitchFamily="34" charset="0"/>
              <a:cs typeface="Arial" panose="020B0604020202020204" pitchFamily="34" charset="0"/>
            </a:rPr>
            <a:t>	Además, la información que se brinda comprende series anuales y mensuales. Estas últimas corresponderán a la ejecución presupuestaria de ingresos y egresos al mes anterior. La publicación de las cifras fiscales se realizará con una frecuencia semestral y estará disponible en el sitio Web del Ministerio de Hacienda. </a:t>
          </a:r>
        </a:p>
      </xdr:txBody>
    </xdr:sp>
    <xdr:clientData/>
  </xdr:twoCellAnchor>
  <xdr:twoCellAnchor>
    <xdr:from>
      <xdr:col>1</xdr:col>
      <xdr:colOff>619125</xdr:colOff>
      <xdr:row>3</xdr:row>
      <xdr:rowOff>95250</xdr:rowOff>
    </xdr:from>
    <xdr:to>
      <xdr:col>14</xdr:col>
      <xdr:colOff>587375</xdr:colOff>
      <xdr:row>3</xdr:row>
      <xdr:rowOff>95251</xdr:rowOff>
    </xdr:to>
    <xdr:cxnSp macro="">
      <xdr:nvCxnSpPr>
        <xdr:cNvPr id="5" name="Conector recto 4"/>
        <xdr:cNvCxnSpPr/>
      </xdr:nvCxnSpPr>
      <xdr:spPr>
        <a:xfrm flipV="1">
          <a:off x="1381125" y="777875"/>
          <a:ext cx="98742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absoluteAnchor>
    <xdr:pos x="0" y="0"/>
    <xdr:ext cx="8651875" cy="62706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1875" cy="62706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8</xdr:col>
      <xdr:colOff>104781</xdr:colOff>
      <xdr:row>13</xdr:row>
      <xdr:rowOff>123831</xdr:rowOff>
    </xdr:from>
    <xdr:to>
      <xdr:col>15</xdr:col>
      <xdr:colOff>142881</xdr:colOff>
      <xdr:row>28</xdr:row>
      <xdr:rowOff>9531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257175</xdr:colOff>
      <xdr:row>3</xdr:row>
      <xdr:rowOff>80962</xdr:rowOff>
    </xdr:from>
    <xdr:to>
      <xdr:col>7</xdr:col>
      <xdr:colOff>257175</xdr:colOff>
      <xdr:row>17</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xdr:row>
      <xdr:rowOff>66675</xdr:rowOff>
    </xdr:from>
    <xdr:to>
      <xdr:col>14</xdr:col>
      <xdr:colOff>285750</xdr:colOff>
      <xdr:row>17</xdr:row>
      <xdr:rowOff>142875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266700</xdr:colOff>
      <xdr:row>19</xdr:row>
      <xdr:rowOff>47625</xdr:rowOff>
    </xdr:from>
    <xdr:to>
      <xdr:col>7</xdr:col>
      <xdr:colOff>266700</xdr:colOff>
      <xdr:row>33</xdr:row>
      <xdr:rowOff>123825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257175</xdr:colOff>
      <xdr:row>19</xdr:row>
      <xdr:rowOff>47625</xdr:rowOff>
    </xdr:from>
    <xdr:to>
      <xdr:col>14</xdr:col>
      <xdr:colOff>257175</xdr:colOff>
      <xdr:row>33</xdr:row>
      <xdr:rowOff>123825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68032</xdr:rowOff>
    </xdr:from>
    <xdr:to>
      <xdr:col>15</xdr:col>
      <xdr:colOff>454927</xdr:colOff>
      <xdr:row>36</xdr:row>
      <xdr:rowOff>112641</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544285</xdr:colOff>
      <xdr:row>36</xdr:row>
      <xdr:rowOff>163282</xdr:rowOff>
    </xdr:from>
    <xdr:to>
      <xdr:col>6</xdr:col>
      <xdr:colOff>290665</xdr:colOff>
      <xdr:row>38</xdr:row>
      <xdr:rowOff>59281</xdr:rowOff>
    </xdr:to>
    <xdr:sp macro="" textlink="">
      <xdr:nvSpPr>
        <xdr:cNvPr id="6" name="CuadroTexto 12"/>
        <xdr:cNvSpPr txBox="1"/>
      </xdr:nvSpPr>
      <xdr:spPr>
        <a:xfrm>
          <a:off x="1306285" y="7102925"/>
          <a:ext cx="3556380" cy="276999"/>
        </a:xfrm>
        <a:prstGeom prst="rect">
          <a:avLst/>
        </a:prstGeom>
        <a:noFill/>
      </xdr:spPr>
      <xdr:txBody>
        <a:bodyPr wrap="square" rtlCol="0">
          <a:spAutoFit/>
        </a:bodyPr>
        <a:lstStyle>
          <a:defPPr>
            <a:defRPr lang="es-SV"/>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SV" sz="1200" b="1">
              <a:latin typeface="Arial" panose="020B0604020202020204" pitchFamily="34" charset="0"/>
              <a:cs typeface="Arial" panose="020B0604020202020204" pitchFamily="34" charset="0"/>
            </a:rPr>
            <a:t>Fuente:</a:t>
          </a:r>
          <a:r>
            <a:rPr lang="es-SV" sz="1200">
              <a:latin typeface="Arial" panose="020B0604020202020204" pitchFamily="34" charset="0"/>
              <a:cs typeface="Arial" panose="020B0604020202020204" pitchFamily="34" charset="0"/>
            </a:rPr>
            <a:t> Dirección de Política Económica y Fiscal</a:t>
          </a:r>
        </a:p>
      </xdr:txBody>
    </xdr:sp>
    <xdr:clientData/>
  </xdr:twoCellAnchor>
  <xdr:twoCellAnchor>
    <xdr:from>
      <xdr:col>12</xdr:col>
      <xdr:colOff>312964</xdr:colOff>
      <xdr:row>30</xdr:row>
      <xdr:rowOff>40817</xdr:rowOff>
    </xdr:from>
    <xdr:to>
      <xdr:col>15</xdr:col>
      <xdr:colOff>524503</xdr:colOff>
      <xdr:row>35</xdr:row>
      <xdr:rowOff>103980</xdr:rowOff>
    </xdr:to>
    <xdr:sp macro="" textlink="">
      <xdr:nvSpPr>
        <xdr:cNvPr id="8" name="CuadroTexto 11"/>
        <xdr:cNvSpPr txBox="1"/>
      </xdr:nvSpPr>
      <xdr:spPr>
        <a:xfrm>
          <a:off x="9456964" y="5837460"/>
          <a:ext cx="2497539" cy="1015663"/>
        </a:xfrm>
        <a:prstGeom prst="rect">
          <a:avLst/>
        </a:prstGeom>
        <a:noFill/>
      </xdr:spPr>
      <xdr:txBody>
        <a:bodyPr wrap="square" rtlCol="0">
          <a:spAutoFit/>
        </a:bodyPr>
        <a:lstStyle>
          <a:defPPr>
            <a:defRPr lang="es-SV"/>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SV" sz="1200" b="1">
              <a:latin typeface="Arial" panose="020B0604020202020204" pitchFamily="34" charset="0"/>
              <a:cs typeface="Arial" panose="020B0604020202020204" pitchFamily="34" charset="0"/>
            </a:rPr>
            <a:t>Nota:</a:t>
          </a:r>
          <a:r>
            <a:rPr lang="es-SV" sz="1200">
              <a:latin typeface="Arial" panose="020B0604020202020204" pitchFamily="34" charset="0"/>
              <a:cs typeface="Arial" panose="020B0604020202020204" pitchFamily="34" charset="0"/>
            </a:rPr>
            <a:t> Elaborado de acuerdo a la preparación y seguimiento de las cifras fiscales según el Manual de Estadísticas de las Finanzas Públicas del FMI </a:t>
          </a:r>
        </a:p>
      </xdr:txBody>
    </xdr:sp>
    <xdr:clientData/>
  </xdr:twoCellAnchor>
  <xdr:twoCellAnchor>
    <xdr:from>
      <xdr:col>1</xdr:col>
      <xdr:colOff>258535</xdr:colOff>
      <xdr:row>3</xdr:row>
      <xdr:rowOff>0</xdr:rowOff>
    </xdr:from>
    <xdr:to>
      <xdr:col>14</xdr:col>
      <xdr:colOff>226785</xdr:colOff>
      <xdr:row>3</xdr:row>
      <xdr:rowOff>1</xdr:rowOff>
    </xdr:to>
    <xdr:cxnSp macro="">
      <xdr:nvCxnSpPr>
        <xdr:cNvPr id="9" name="Conector recto 8"/>
        <xdr:cNvCxnSpPr/>
      </xdr:nvCxnSpPr>
      <xdr:spPr>
        <a:xfrm flipV="1">
          <a:off x="1020535" y="653143"/>
          <a:ext cx="98742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absoluteAnchor>
    <xdr:pos x="0" y="0"/>
    <xdr:ext cx="8663836" cy="627606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3836" cy="627606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3836" cy="627606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1875" cy="62706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3836" cy="627606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3836" cy="627606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3836" cy="627606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4:H63"/>
  <sheetViews>
    <sheetView tabSelected="1" workbookViewId="0">
      <selection activeCell="F8" sqref="F8"/>
    </sheetView>
  </sheetViews>
  <sheetFormatPr baseColWidth="10" defaultRowHeight="15"/>
  <cols>
    <col min="2" max="2" width="4.7109375" customWidth="1"/>
    <col min="3" max="3" width="104" customWidth="1"/>
    <col min="4" max="4" width="5.7109375" customWidth="1"/>
  </cols>
  <sheetData>
    <row r="4" spans="1:8" ht="21" customHeight="1">
      <c r="C4" s="3" t="s">
        <v>3</v>
      </c>
    </row>
    <row r="5" spans="1:8" ht="21" customHeight="1">
      <c r="C5" s="4"/>
      <c r="D5" s="5" t="s">
        <v>4</v>
      </c>
    </row>
    <row r="6" spans="1:8" ht="21" customHeight="1">
      <c r="A6" s="731"/>
      <c r="C6" s="730" t="s">
        <v>791</v>
      </c>
      <c r="D6" s="4">
        <v>7</v>
      </c>
    </row>
    <row r="7" spans="1:8" ht="21" customHeight="1">
      <c r="A7" s="731"/>
      <c r="C7" s="730" t="s">
        <v>790</v>
      </c>
      <c r="D7" s="4">
        <v>8</v>
      </c>
    </row>
    <row r="8" spans="1:8" ht="30.95" customHeight="1">
      <c r="A8" s="731"/>
      <c r="C8" s="7" t="s">
        <v>5</v>
      </c>
      <c r="D8" s="4"/>
    </row>
    <row r="9" spans="1:8" ht="21" customHeight="1">
      <c r="A9" s="731"/>
      <c r="C9" s="8" t="s">
        <v>738</v>
      </c>
      <c r="D9" s="4">
        <v>10</v>
      </c>
      <c r="G9" s="9"/>
    </row>
    <row r="10" spans="1:8" ht="21" customHeight="1">
      <c r="A10" s="731"/>
      <c r="C10" s="8" t="s">
        <v>739</v>
      </c>
      <c r="D10" s="4">
        <v>11</v>
      </c>
      <c r="G10" s="9"/>
    </row>
    <row r="11" spans="1:8" ht="21" customHeight="1">
      <c r="A11" s="731"/>
      <c r="C11" s="8" t="s">
        <v>740</v>
      </c>
      <c r="D11" s="4">
        <v>12</v>
      </c>
      <c r="G11" s="9"/>
    </row>
    <row r="12" spans="1:8" ht="21" customHeight="1">
      <c r="A12" s="731"/>
      <c r="C12" s="8" t="s">
        <v>741</v>
      </c>
      <c r="D12" s="4">
        <v>13</v>
      </c>
      <c r="G12" s="9"/>
      <c r="H12" s="9"/>
    </row>
    <row r="13" spans="1:8" ht="21" customHeight="1">
      <c r="A13" s="731"/>
      <c r="B13" s="9"/>
      <c r="C13" s="8" t="s">
        <v>6</v>
      </c>
      <c r="D13" s="10">
        <v>14</v>
      </c>
      <c r="G13" s="9"/>
      <c r="H13" s="9"/>
    </row>
    <row r="14" spans="1:8" ht="21" customHeight="1">
      <c r="A14" s="731"/>
      <c r="B14" s="9"/>
      <c r="C14" s="8" t="s">
        <v>7</v>
      </c>
      <c r="D14" s="10">
        <v>15</v>
      </c>
      <c r="G14" s="9"/>
      <c r="H14" s="9"/>
    </row>
    <row r="15" spans="1:8" ht="21" customHeight="1">
      <c r="A15" s="731"/>
      <c r="B15" s="9"/>
      <c r="C15" s="8" t="s">
        <v>561</v>
      </c>
      <c r="D15" s="10">
        <v>16</v>
      </c>
      <c r="G15" s="9"/>
      <c r="H15" s="9"/>
    </row>
    <row r="16" spans="1:8" ht="21" customHeight="1">
      <c r="A16" s="731"/>
      <c r="B16" s="9"/>
      <c r="C16" s="8" t="s">
        <v>665</v>
      </c>
      <c r="D16" s="10">
        <v>17</v>
      </c>
      <c r="G16" s="9"/>
      <c r="H16" s="9"/>
    </row>
    <row r="17" spans="1:8" ht="21" customHeight="1">
      <c r="A17" s="731"/>
      <c r="B17" s="9"/>
      <c r="C17" s="8" t="s">
        <v>718</v>
      </c>
      <c r="D17" s="10">
        <v>18</v>
      </c>
      <c r="G17" s="9"/>
      <c r="H17" s="9"/>
    </row>
    <row r="18" spans="1:8" ht="21" customHeight="1">
      <c r="A18" s="731"/>
      <c r="C18" s="8" t="s">
        <v>742</v>
      </c>
      <c r="D18" s="4">
        <v>19</v>
      </c>
      <c r="G18" s="9"/>
      <c r="H18" s="9"/>
    </row>
    <row r="19" spans="1:8" ht="21" customHeight="1">
      <c r="A19" s="731"/>
      <c r="C19" s="8" t="s">
        <v>743</v>
      </c>
      <c r="D19" s="4">
        <v>20</v>
      </c>
      <c r="G19" s="9"/>
      <c r="H19" s="9"/>
    </row>
    <row r="20" spans="1:8" ht="21" customHeight="1">
      <c r="A20" s="731"/>
      <c r="C20" s="8" t="s">
        <v>744</v>
      </c>
      <c r="D20" s="4">
        <v>21</v>
      </c>
      <c r="G20" s="9"/>
      <c r="H20" s="9"/>
    </row>
    <row r="21" spans="1:8" ht="21" customHeight="1">
      <c r="A21" s="731"/>
      <c r="C21" s="8" t="s">
        <v>8</v>
      </c>
      <c r="D21" s="4">
        <v>22</v>
      </c>
      <c r="G21" s="9"/>
      <c r="H21" s="9"/>
    </row>
    <row r="22" spans="1:8" ht="21" customHeight="1">
      <c r="A22" s="731"/>
      <c r="C22" s="8" t="s">
        <v>9</v>
      </c>
      <c r="D22" s="4">
        <v>23</v>
      </c>
      <c r="G22" s="9"/>
      <c r="H22" s="9"/>
    </row>
    <row r="23" spans="1:8" ht="21" customHeight="1">
      <c r="A23" s="731"/>
      <c r="C23" s="8" t="s">
        <v>562</v>
      </c>
      <c r="D23" s="4">
        <v>24</v>
      </c>
      <c r="G23" s="9"/>
      <c r="H23" s="9"/>
    </row>
    <row r="24" spans="1:8" ht="21" customHeight="1">
      <c r="A24" s="731"/>
      <c r="C24" s="8" t="s">
        <v>666</v>
      </c>
      <c r="D24" s="4">
        <v>25</v>
      </c>
      <c r="G24" s="9"/>
      <c r="H24" s="9"/>
    </row>
    <row r="25" spans="1:8" ht="21" customHeight="1">
      <c r="A25" s="731"/>
      <c r="C25" s="8" t="s">
        <v>719</v>
      </c>
      <c r="D25" s="4">
        <v>26</v>
      </c>
      <c r="G25" s="9"/>
      <c r="H25" s="9"/>
    </row>
    <row r="26" spans="1:8" ht="21" customHeight="1">
      <c r="A26" s="731"/>
      <c r="C26" s="8" t="s">
        <v>745</v>
      </c>
      <c r="D26" s="4">
        <v>27</v>
      </c>
      <c r="G26" s="9"/>
      <c r="H26" s="9"/>
    </row>
    <row r="27" spans="1:8" ht="30.95" customHeight="1">
      <c r="A27" s="732"/>
      <c r="C27" s="7" t="s">
        <v>10</v>
      </c>
      <c r="D27" s="4"/>
      <c r="G27" s="4"/>
      <c r="H27" s="9"/>
    </row>
    <row r="28" spans="1:8" ht="21" customHeight="1">
      <c r="A28" s="732"/>
      <c r="C28" s="8" t="s">
        <v>746</v>
      </c>
      <c r="D28" s="4">
        <v>29</v>
      </c>
      <c r="G28" s="9"/>
      <c r="H28" s="9"/>
    </row>
    <row r="29" spans="1:8" ht="21" customHeight="1">
      <c r="A29" s="732"/>
      <c r="C29" s="8" t="s">
        <v>748</v>
      </c>
      <c r="D29" s="4">
        <v>30</v>
      </c>
      <c r="G29" s="9"/>
      <c r="H29" s="9"/>
    </row>
    <row r="30" spans="1:8" ht="21" customHeight="1">
      <c r="A30" s="732"/>
      <c r="C30" s="8" t="s">
        <v>747</v>
      </c>
      <c r="D30" s="4">
        <v>31</v>
      </c>
      <c r="G30" s="9"/>
      <c r="H30" s="9"/>
    </row>
    <row r="31" spans="1:8" ht="21" customHeight="1">
      <c r="A31" s="732"/>
      <c r="C31" s="8" t="s">
        <v>749</v>
      </c>
      <c r="D31" s="4">
        <v>32</v>
      </c>
      <c r="G31" s="9"/>
      <c r="H31" s="9"/>
    </row>
    <row r="32" spans="1:8" ht="21" customHeight="1">
      <c r="A32" s="732"/>
      <c r="C32" s="8" t="s">
        <v>750</v>
      </c>
      <c r="D32" s="4">
        <v>33</v>
      </c>
      <c r="G32" s="9"/>
      <c r="H32" s="9"/>
    </row>
    <row r="33" spans="1:8" ht="21" customHeight="1">
      <c r="A33" s="732"/>
      <c r="C33" s="8" t="s">
        <v>751</v>
      </c>
      <c r="D33" s="4">
        <v>34</v>
      </c>
      <c r="G33" s="9"/>
      <c r="H33" s="9"/>
    </row>
    <row r="34" spans="1:8" ht="21" customHeight="1">
      <c r="A34" s="732"/>
      <c r="C34" s="8" t="s">
        <v>11</v>
      </c>
      <c r="D34" s="4">
        <v>35</v>
      </c>
      <c r="G34" s="9"/>
      <c r="H34" s="9"/>
    </row>
    <row r="35" spans="1:8" ht="21" customHeight="1">
      <c r="A35" s="732"/>
      <c r="C35" s="8" t="s">
        <v>12</v>
      </c>
      <c r="D35" s="4">
        <v>36</v>
      </c>
      <c r="G35" s="9"/>
      <c r="H35" s="9"/>
    </row>
    <row r="36" spans="1:8" ht="21" customHeight="1">
      <c r="A36" s="732"/>
      <c r="C36" s="8" t="s">
        <v>563</v>
      </c>
      <c r="D36" s="4">
        <v>37</v>
      </c>
      <c r="G36" s="9"/>
      <c r="H36" s="9"/>
    </row>
    <row r="37" spans="1:8" ht="21" customHeight="1">
      <c r="A37" s="732"/>
      <c r="C37" s="8" t="s">
        <v>667</v>
      </c>
      <c r="D37" s="4">
        <v>38</v>
      </c>
      <c r="G37" s="9"/>
      <c r="H37" s="9"/>
    </row>
    <row r="38" spans="1:8" ht="21" customHeight="1">
      <c r="A38" s="732"/>
      <c r="C38" s="8" t="s">
        <v>720</v>
      </c>
      <c r="D38" s="4">
        <v>39</v>
      </c>
      <c r="G38" s="9"/>
      <c r="H38" s="9"/>
    </row>
    <row r="39" spans="1:8" ht="21" customHeight="1">
      <c r="A39" s="732"/>
      <c r="C39" s="8" t="s">
        <v>752</v>
      </c>
      <c r="D39" s="4">
        <v>40</v>
      </c>
      <c r="G39" s="9"/>
      <c r="H39" s="9"/>
    </row>
    <row r="40" spans="1:8" ht="21" customHeight="1">
      <c r="A40" s="732"/>
      <c r="C40" s="8" t="s">
        <v>753</v>
      </c>
      <c r="D40" s="4">
        <v>41</v>
      </c>
      <c r="G40" s="9"/>
      <c r="H40" s="9"/>
    </row>
    <row r="41" spans="1:8" ht="21" customHeight="1">
      <c r="A41" s="732"/>
      <c r="C41" s="8" t="s">
        <v>754</v>
      </c>
      <c r="D41" s="4">
        <v>42</v>
      </c>
      <c r="G41" s="9"/>
      <c r="H41" s="9"/>
    </row>
    <row r="42" spans="1:8" ht="21" customHeight="1">
      <c r="A42" s="732"/>
      <c r="C42" s="8" t="s">
        <v>755</v>
      </c>
      <c r="D42" s="4">
        <v>43</v>
      </c>
      <c r="G42" s="9"/>
      <c r="H42" s="9"/>
    </row>
    <row r="43" spans="1:8" ht="30.95" customHeight="1">
      <c r="A43" s="732"/>
      <c r="B43" s="9"/>
      <c r="C43" s="11" t="s">
        <v>13</v>
      </c>
      <c r="D43" s="10"/>
      <c r="G43" s="10"/>
    </row>
    <row r="44" spans="1:8" ht="21" customHeight="1">
      <c r="A44" s="732"/>
      <c r="B44" s="9"/>
      <c r="C44" s="8" t="s">
        <v>756</v>
      </c>
      <c r="D44" s="10">
        <v>45</v>
      </c>
      <c r="G44" s="9"/>
    </row>
    <row r="45" spans="1:8" ht="21" customHeight="1">
      <c r="A45" s="732"/>
      <c r="B45" s="9"/>
      <c r="C45" s="8" t="s">
        <v>757</v>
      </c>
      <c r="D45" s="10">
        <v>46</v>
      </c>
      <c r="G45" s="9"/>
    </row>
    <row r="46" spans="1:8" ht="21" customHeight="1">
      <c r="A46" s="732"/>
      <c r="B46" s="9"/>
      <c r="C46" s="8" t="s">
        <v>758</v>
      </c>
      <c r="D46" s="10">
        <v>47</v>
      </c>
      <c r="G46" s="9"/>
    </row>
    <row r="47" spans="1:8" ht="21" customHeight="1">
      <c r="A47" s="732"/>
      <c r="B47" s="9"/>
      <c r="C47" s="8" t="s">
        <v>759</v>
      </c>
      <c r="D47" s="10">
        <v>48</v>
      </c>
      <c r="G47" s="9"/>
    </row>
    <row r="48" spans="1:8" ht="21" customHeight="1">
      <c r="A48" s="733"/>
      <c r="B48" s="9"/>
      <c r="C48" s="8" t="s">
        <v>760</v>
      </c>
      <c r="D48" s="10">
        <v>49</v>
      </c>
      <c r="G48" s="9"/>
    </row>
    <row r="49" spans="1:8" ht="21" customHeight="1">
      <c r="A49" s="733"/>
      <c r="C49" s="8" t="s">
        <v>761</v>
      </c>
      <c r="D49" s="4">
        <v>50</v>
      </c>
      <c r="G49" s="9"/>
    </row>
    <row r="50" spans="1:8" ht="21" customHeight="1">
      <c r="A50" s="733"/>
      <c r="C50" s="8" t="s">
        <v>762</v>
      </c>
      <c r="D50" s="4">
        <v>51</v>
      </c>
      <c r="G50" s="9"/>
    </row>
    <row r="51" spans="1:8" ht="21" customHeight="1">
      <c r="A51" s="733"/>
      <c r="C51" s="8" t="s">
        <v>763</v>
      </c>
      <c r="D51" s="4">
        <v>52</v>
      </c>
      <c r="G51" s="9"/>
    </row>
    <row r="52" spans="1:8" ht="30.95" customHeight="1">
      <c r="A52" s="733"/>
      <c r="C52" s="11" t="s">
        <v>14</v>
      </c>
      <c r="D52" s="4"/>
      <c r="G52" s="9"/>
      <c r="H52" s="9"/>
    </row>
    <row r="53" spans="1:8" ht="21" customHeight="1">
      <c r="A53" s="733"/>
      <c r="C53" s="8" t="s">
        <v>764</v>
      </c>
      <c r="D53" s="4">
        <v>54</v>
      </c>
      <c r="G53" s="9"/>
      <c r="H53" s="9"/>
    </row>
    <row r="54" spans="1:8" ht="21" customHeight="1">
      <c r="A54" s="733"/>
      <c r="C54" s="8" t="s">
        <v>765</v>
      </c>
      <c r="D54" s="4">
        <v>55</v>
      </c>
      <c r="G54" s="9"/>
      <c r="H54" s="9"/>
    </row>
    <row r="55" spans="1:8" ht="21" customHeight="1">
      <c r="A55" s="733"/>
      <c r="C55" s="8" t="s">
        <v>766</v>
      </c>
      <c r="D55" s="4">
        <v>56</v>
      </c>
      <c r="G55" s="9"/>
      <c r="H55" s="9"/>
    </row>
    <row r="56" spans="1:8" ht="30.95" customHeight="1">
      <c r="A56" s="733"/>
      <c r="C56" s="11" t="s">
        <v>15</v>
      </c>
      <c r="D56" s="4"/>
      <c r="G56" s="9"/>
      <c r="H56" s="9"/>
    </row>
    <row r="57" spans="1:8" ht="21" customHeight="1">
      <c r="A57" s="733"/>
      <c r="C57" s="8" t="s">
        <v>767</v>
      </c>
      <c r="D57" s="10">
        <v>58</v>
      </c>
      <c r="G57" s="9"/>
      <c r="H57" s="9"/>
    </row>
    <row r="58" spans="1:8" ht="21" customHeight="1">
      <c r="A58" s="733"/>
      <c r="C58" s="8" t="s">
        <v>768</v>
      </c>
      <c r="D58" s="10">
        <v>59</v>
      </c>
      <c r="G58" s="9"/>
      <c r="H58" s="9"/>
    </row>
    <row r="59" spans="1:8" ht="21" customHeight="1">
      <c r="A59" s="733"/>
      <c r="C59" s="8" t="s">
        <v>769</v>
      </c>
      <c r="D59" s="10">
        <v>60</v>
      </c>
      <c r="G59" s="9"/>
      <c r="H59" s="9"/>
    </row>
    <row r="60" spans="1:8" ht="21" customHeight="1">
      <c r="A60" s="733"/>
      <c r="C60" s="8" t="s">
        <v>770</v>
      </c>
      <c r="D60" s="10">
        <v>61</v>
      </c>
      <c r="G60" s="9"/>
    </row>
    <row r="61" spans="1:8" ht="21" customHeight="1">
      <c r="A61" s="733"/>
      <c r="C61" s="8" t="s">
        <v>771</v>
      </c>
      <c r="D61" s="4">
        <v>62</v>
      </c>
      <c r="G61" s="9"/>
      <c r="H61" s="9"/>
    </row>
    <row r="62" spans="1:8" ht="21" customHeight="1">
      <c r="A62" s="733"/>
      <c r="C62" s="8" t="s">
        <v>16</v>
      </c>
      <c r="D62" s="4">
        <v>53</v>
      </c>
      <c r="G62" s="9"/>
      <c r="H62" s="9"/>
    </row>
    <row r="63" spans="1:8">
      <c r="G63" s="9"/>
      <c r="H63" s="9"/>
    </row>
  </sheetData>
  <printOptions horizontalCentered="1"/>
  <pageMargins left="0.7" right="0.7" top="0.75" bottom="0.75" header="0.3" footer="0.3"/>
  <pageSetup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94"/>
  <sheetViews>
    <sheetView workbookViewId="0"/>
  </sheetViews>
  <sheetFormatPr baseColWidth="10" defaultRowHeight="15"/>
  <cols>
    <col min="1" max="1" width="2.7109375" customWidth="1"/>
    <col min="2" max="2" width="52.42578125" customWidth="1"/>
    <col min="3" max="14" width="8.7109375" customWidth="1"/>
    <col min="15" max="15" width="10.5703125" customWidth="1"/>
  </cols>
  <sheetData>
    <row r="1" spans="1:16" ht="15.75">
      <c r="A1" s="2"/>
      <c r="B1" s="353" t="s">
        <v>18</v>
      </c>
      <c r="C1" s="2"/>
      <c r="D1" s="2"/>
      <c r="E1" s="2"/>
      <c r="F1" s="2"/>
      <c r="G1" s="2"/>
      <c r="H1" s="2"/>
      <c r="I1" s="2"/>
      <c r="J1" s="2"/>
      <c r="K1" s="2"/>
      <c r="L1" s="2"/>
      <c r="M1" s="2"/>
      <c r="N1" s="2"/>
      <c r="O1" s="2"/>
      <c r="P1" s="2"/>
    </row>
    <row r="2" spans="1:16" ht="15.75">
      <c r="A2" s="2"/>
      <c r="B2" s="353" t="s">
        <v>504</v>
      </c>
      <c r="C2" s="2"/>
      <c r="D2" s="2"/>
      <c r="E2" s="2"/>
      <c r="F2" s="2"/>
      <c r="G2" s="2"/>
      <c r="H2" s="2"/>
      <c r="I2" s="2"/>
      <c r="J2" s="2"/>
      <c r="K2" s="2"/>
      <c r="L2" s="2"/>
      <c r="M2" s="2"/>
      <c r="N2" s="2"/>
      <c r="O2" s="2"/>
      <c r="P2" s="2"/>
    </row>
    <row r="3" spans="1:16" ht="15.75">
      <c r="A3" s="2"/>
      <c r="B3" s="353" t="s">
        <v>19</v>
      </c>
      <c r="C3" s="2"/>
      <c r="D3" s="2"/>
      <c r="E3" s="2"/>
      <c r="F3" s="2"/>
      <c r="G3" s="2"/>
      <c r="H3" s="2"/>
      <c r="I3" s="2"/>
      <c r="J3" s="2"/>
      <c r="K3" s="2"/>
      <c r="L3" s="2"/>
      <c r="M3" s="2"/>
      <c r="N3" s="2"/>
      <c r="O3" s="2"/>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505</v>
      </c>
      <c r="P5" s="2"/>
    </row>
    <row r="6" spans="1:16" ht="15.75">
      <c r="A6" s="2"/>
      <c r="B6" s="358"/>
      <c r="C6" s="359"/>
      <c r="D6" s="359"/>
      <c r="E6" s="359"/>
      <c r="F6" s="359"/>
      <c r="G6" s="359"/>
      <c r="H6" s="359"/>
      <c r="I6" s="359"/>
      <c r="J6" s="359"/>
      <c r="K6" s="359"/>
      <c r="L6" s="359"/>
      <c r="M6" s="359"/>
      <c r="N6" s="359"/>
      <c r="O6" s="360"/>
      <c r="P6" s="2"/>
    </row>
    <row r="7" spans="1:16" ht="24.95" customHeight="1">
      <c r="A7" s="2"/>
      <c r="B7" s="362" t="s">
        <v>239</v>
      </c>
      <c r="C7" s="363">
        <f t="shared" ref="C7:N7" si="0">+C8+C12+C13</f>
        <v>364.50912603</v>
      </c>
      <c r="D7" s="363">
        <f t="shared" si="0"/>
        <v>321.72184609000004</v>
      </c>
      <c r="E7" s="363">
        <f t="shared" si="0"/>
        <v>362.08524004800006</v>
      </c>
      <c r="F7" s="363">
        <f t="shared" si="0"/>
        <v>580.48097718400015</v>
      </c>
      <c r="G7" s="363">
        <f t="shared" si="0"/>
        <v>340.31432181399992</v>
      </c>
      <c r="H7" s="363">
        <f t="shared" si="0"/>
        <v>331.13162824450006</v>
      </c>
      <c r="I7" s="363">
        <f t="shared" si="0"/>
        <v>329.87998081230006</v>
      </c>
      <c r="J7" s="363">
        <f t="shared" si="0"/>
        <v>351.17279498999994</v>
      </c>
      <c r="K7" s="363">
        <f t="shared" si="0"/>
        <v>333.79015494399999</v>
      </c>
      <c r="L7" s="363">
        <f t="shared" si="0"/>
        <v>356.75857080399999</v>
      </c>
      <c r="M7" s="363">
        <f t="shared" si="0"/>
        <v>360.06845080799997</v>
      </c>
      <c r="N7" s="363">
        <f t="shared" si="0"/>
        <v>481.69604239199998</v>
      </c>
      <c r="O7" s="364">
        <f>SUM(C7:N7)</f>
        <v>4513.6091341607998</v>
      </c>
      <c r="P7" s="2"/>
    </row>
    <row r="8" spans="1:16" ht="21" customHeight="1">
      <c r="A8" s="2"/>
      <c r="B8" s="365" t="s">
        <v>240</v>
      </c>
      <c r="C8" s="366">
        <f>+C9+C10+C11</f>
        <v>354.79087919</v>
      </c>
      <c r="D8" s="366">
        <f t="shared" ref="D8:N8" si="1">+D9+D10+D11</f>
        <v>309.76374674000004</v>
      </c>
      <c r="E8" s="366">
        <f t="shared" si="1"/>
        <v>341.56240149800004</v>
      </c>
      <c r="F8" s="366">
        <f t="shared" si="1"/>
        <v>555.6266118740001</v>
      </c>
      <c r="G8" s="366">
        <f t="shared" si="1"/>
        <v>330.03519526399992</v>
      </c>
      <c r="H8" s="366">
        <f t="shared" si="1"/>
        <v>316.39845144450004</v>
      </c>
      <c r="I8" s="366">
        <f t="shared" si="1"/>
        <v>320.40391778230008</v>
      </c>
      <c r="J8" s="366">
        <f t="shared" si="1"/>
        <v>333.74996498999997</v>
      </c>
      <c r="K8" s="366">
        <f t="shared" si="1"/>
        <v>313.60350494400001</v>
      </c>
      <c r="L8" s="366">
        <f t="shared" si="1"/>
        <v>336.68893080399999</v>
      </c>
      <c r="M8" s="366">
        <f t="shared" si="1"/>
        <v>352.86221717799998</v>
      </c>
      <c r="N8" s="366">
        <f t="shared" si="1"/>
        <v>434.09059923199999</v>
      </c>
      <c r="O8" s="367">
        <f t="shared" ref="O8:O13" si="2">SUM(C8:N8)</f>
        <v>4299.5764209408007</v>
      </c>
      <c r="P8" s="2"/>
    </row>
    <row r="9" spans="1:16" ht="18.75">
      <c r="A9" s="2"/>
      <c r="B9" s="368" t="s">
        <v>351</v>
      </c>
      <c r="C9" s="366">
        <v>302.72351728000001</v>
      </c>
      <c r="D9" s="366">
        <v>249.86627761</v>
      </c>
      <c r="E9" s="366">
        <v>279.63105898000003</v>
      </c>
      <c r="F9" s="366">
        <v>505.18781525000003</v>
      </c>
      <c r="G9" s="366">
        <v>275.2804645199999</v>
      </c>
      <c r="H9" s="366">
        <v>267.14365172000004</v>
      </c>
      <c r="I9" s="366">
        <v>269.36704473000009</v>
      </c>
      <c r="J9" s="366">
        <v>265.34368733999997</v>
      </c>
      <c r="K9" s="366">
        <v>250.45896338</v>
      </c>
      <c r="L9" s="366">
        <v>264.30701259</v>
      </c>
      <c r="M9" s="366">
        <v>272.73086060000003</v>
      </c>
      <c r="N9" s="366">
        <v>284.56479273999997</v>
      </c>
      <c r="O9" s="367">
        <f t="shared" si="2"/>
        <v>3486.6051467400002</v>
      </c>
      <c r="P9" s="2"/>
    </row>
    <row r="10" spans="1:16" ht="15.75">
      <c r="A10" s="2"/>
      <c r="B10" s="368" t="s">
        <v>317</v>
      </c>
      <c r="C10" s="366">
        <v>45.618924490000005</v>
      </c>
      <c r="D10" s="366">
        <v>51.518321170000007</v>
      </c>
      <c r="E10" s="366">
        <v>51.924427699999995</v>
      </c>
      <c r="F10" s="366">
        <v>41.321706310000003</v>
      </c>
      <c r="G10" s="366">
        <v>49.603135569999999</v>
      </c>
      <c r="H10" s="366">
        <v>48.018160230000007</v>
      </c>
      <c r="I10" s="366">
        <v>43.468801710000008</v>
      </c>
      <c r="J10" s="366">
        <v>47.491084010000002</v>
      </c>
      <c r="K10" s="366">
        <v>44.525545169999994</v>
      </c>
      <c r="L10" s="366">
        <v>41.964892759999991</v>
      </c>
      <c r="M10" s="366">
        <v>46.461027039999983</v>
      </c>
      <c r="N10" s="366">
        <v>132.08044390000001</v>
      </c>
      <c r="O10" s="367">
        <f t="shared" si="2"/>
        <v>643.99647005999998</v>
      </c>
      <c r="P10" s="2"/>
    </row>
    <row r="11" spans="1:16" ht="15.75">
      <c r="A11" s="2"/>
      <c r="B11" s="368" t="s">
        <v>318</v>
      </c>
      <c r="C11" s="366">
        <v>6.4484374200000047</v>
      </c>
      <c r="D11" s="366">
        <v>8.3791479600000009</v>
      </c>
      <c r="E11" s="366">
        <v>10.006914817999998</v>
      </c>
      <c r="F11" s="366">
        <v>9.1170903140000057</v>
      </c>
      <c r="G11" s="366">
        <v>5.1515951740000006</v>
      </c>
      <c r="H11" s="366">
        <v>1.2366394945000003</v>
      </c>
      <c r="I11" s="366">
        <v>7.5680713423000014</v>
      </c>
      <c r="J11" s="366">
        <v>20.915193639999998</v>
      </c>
      <c r="K11" s="366">
        <v>18.618996393999996</v>
      </c>
      <c r="L11" s="366">
        <v>30.417025454000012</v>
      </c>
      <c r="M11" s="366">
        <v>33.670329537999997</v>
      </c>
      <c r="N11" s="366">
        <v>17.445362591999995</v>
      </c>
      <c r="O11" s="367">
        <f t="shared" si="2"/>
        <v>168.97480414080002</v>
      </c>
      <c r="P11" s="2"/>
    </row>
    <row r="12" spans="1:16" ht="21" customHeight="1">
      <c r="A12" s="2"/>
      <c r="B12" s="365" t="s">
        <v>244</v>
      </c>
      <c r="C12" s="366">
        <v>0</v>
      </c>
      <c r="D12" s="366">
        <v>0</v>
      </c>
      <c r="E12" s="366">
        <v>0</v>
      </c>
      <c r="F12" s="366">
        <v>0.10978531</v>
      </c>
      <c r="G12" s="366">
        <v>2.5596549999999999E-2</v>
      </c>
      <c r="H12" s="366">
        <v>0</v>
      </c>
      <c r="I12" s="366">
        <v>0</v>
      </c>
      <c r="J12" s="366">
        <v>0</v>
      </c>
      <c r="K12" s="366">
        <v>0</v>
      </c>
      <c r="L12" s="366">
        <v>0</v>
      </c>
      <c r="M12" s="366">
        <v>4.1936300000000003E-3</v>
      </c>
      <c r="N12" s="366">
        <v>2.3416380000000001E-2</v>
      </c>
      <c r="O12" s="367">
        <f t="shared" si="2"/>
        <v>0.16299186999999998</v>
      </c>
      <c r="P12" s="2"/>
    </row>
    <row r="13" spans="1:16" ht="21" customHeight="1">
      <c r="A13" s="2"/>
      <c r="B13" s="365" t="s">
        <v>245</v>
      </c>
      <c r="C13" s="366">
        <v>9.7182468399999991</v>
      </c>
      <c r="D13" s="366">
        <v>11.958099349999999</v>
      </c>
      <c r="E13" s="366">
        <v>20.522838549999999</v>
      </c>
      <c r="F13" s="366">
        <v>24.744579999999999</v>
      </c>
      <c r="G13" s="366">
        <v>10.25353</v>
      </c>
      <c r="H13" s="366">
        <v>14.733176800000001</v>
      </c>
      <c r="I13" s="366">
        <v>9.4760630300000006</v>
      </c>
      <c r="J13" s="366">
        <v>17.422829999999998</v>
      </c>
      <c r="K13" s="366">
        <v>20.18665</v>
      </c>
      <c r="L13" s="366">
        <v>20.069640000000003</v>
      </c>
      <c r="M13" s="366">
        <v>7.2020400000000002</v>
      </c>
      <c r="N13" s="366">
        <v>47.58202678</v>
      </c>
      <c r="O13" s="367">
        <f t="shared" si="2"/>
        <v>213.86972134999999</v>
      </c>
      <c r="P13" s="2"/>
    </row>
    <row r="14" spans="1:16" ht="24.95" customHeight="1">
      <c r="A14" s="2"/>
      <c r="B14" s="362" t="s">
        <v>246</v>
      </c>
      <c r="C14" s="363">
        <f>+C15+C21+C24</f>
        <v>373.63082522999997</v>
      </c>
      <c r="D14" s="363">
        <f t="shared" ref="D14:N14" si="3">+D15+D21+D24</f>
        <v>400.11004032999995</v>
      </c>
      <c r="E14" s="363">
        <f t="shared" si="3"/>
        <v>439.2089350439</v>
      </c>
      <c r="F14" s="363">
        <f t="shared" si="3"/>
        <v>386.39250779999998</v>
      </c>
      <c r="G14" s="363">
        <f t="shared" si="3"/>
        <v>415.32747180000007</v>
      </c>
      <c r="H14" s="363">
        <f t="shared" si="3"/>
        <v>451.73313061890002</v>
      </c>
      <c r="I14" s="363">
        <f t="shared" si="3"/>
        <v>507.43910925999995</v>
      </c>
      <c r="J14" s="363">
        <f t="shared" si="3"/>
        <v>347.56669237999995</v>
      </c>
      <c r="K14" s="363">
        <f t="shared" si="3"/>
        <v>326.05320465</v>
      </c>
      <c r="L14" s="363">
        <f t="shared" si="3"/>
        <v>374.74280983000006</v>
      </c>
      <c r="M14" s="363">
        <f t="shared" si="3"/>
        <v>386.22616025600001</v>
      </c>
      <c r="N14" s="363">
        <f t="shared" si="3"/>
        <v>606.1820961633</v>
      </c>
      <c r="O14" s="364">
        <f>SUM(C14:N14)</f>
        <v>5014.6129833620998</v>
      </c>
      <c r="P14" s="2"/>
    </row>
    <row r="15" spans="1:16" ht="21" customHeight="1">
      <c r="A15" s="2"/>
      <c r="B15" s="365" t="s">
        <v>247</v>
      </c>
      <c r="C15" s="366">
        <f>+C16+C19+C20</f>
        <v>333.44608614999999</v>
      </c>
      <c r="D15" s="366">
        <f t="shared" ref="D15:N15" si="4">+D16+D19+D20</f>
        <v>330.38091035999997</v>
      </c>
      <c r="E15" s="366">
        <f t="shared" si="4"/>
        <v>378.60895555000002</v>
      </c>
      <c r="F15" s="366">
        <f t="shared" si="4"/>
        <v>342.48001589</v>
      </c>
      <c r="G15" s="366">
        <f t="shared" si="4"/>
        <v>363.29227219000006</v>
      </c>
      <c r="H15" s="366">
        <f t="shared" si="4"/>
        <v>401.85499776</v>
      </c>
      <c r="I15" s="366">
        <f t="shared" si="4"/>
        <v>429.80273169999998</v>
      </c>
      <c r="J15" s="366">
        <f t="shared" si="4"/>
        <v>297.55144804999998</v>
      </c>
      <c r="K15" s="366">
        <f t="shared" si="4"/>
        <v>268.19144159999996</v>
      </c>
      <c r="L15" s="366">
        <f t="shared" si="4"/>
        <v>331.47961625000005</v>
      </c>
      <c r="M15" s="366">
        <f t="shared" si="4"/>
        <v>324.98647533600001</v>
      </c>
      <c r="N15" s="366">
        <f t="shared" si="4"/>
        <v>544.07255681000004</v>
      </c>
      <c r="O15" s="367">
        <f t="shared" ref="O15:O24" si="5">SUM(C15:N15)</f>
        <v>4346.1475076460001</v>
      </c>
      <c r="P15" s="2"/>
    </row>
    <row r="16" spans="1:16" ht="15.75">
      <c r="A16" s="2"/>
      <c r="B16" s="368" t="s">
        <v>321</v>
      </c>
      <c r="C16" s="366">
        <f>+C17+C18</f>
        <v>202.80965990999999</v>
      </c>
      <c r="D16" s="366">
        <f t="shared" ref="D16:N16" si="6">+D17+D18</f>
        <v>213.15673700999997</v>
      </c>
      <c r="E16" s="366">
        <f t="shared" si="6"/>
        <v>239.55368686</v>
      </c>
      <c r="F16" s="366">
        <f t="shared" si="6"/>
        <v>216.772899</v>
      </c>
      <c r="G16" s="366">
        <f t="shared" si="6"/>
        <v>229.76868096000004</v>
      </c>
      <c r="H16" s="366">
        <f t="shared" si="6"/>
        <v>255.04400167000003</v>
      </c>
      <c r="I16" s="366">
        <f t="shared" si="6"/>
        <v>240.58432307999996</v>
      </c>
      <c r="J16" s="366">
        <f t="shared" si="6"/>
        <v>207.40940062999999</v>
      </c>
      <c r="K16" s="366">
        <f t="shared" si="6"/>
        <v>197.43582845999998</v>
      </c>
      <c r="L16" s="366">
        <f t="shared" si="6"/>
        <v>222.95625197000001</v>
      </c>
      <c r="M16" s="366">
        <f t="shared" si="6"/>
        <v>224.813808096</v>
      </c>
      <c r="N16" s="366">
        <f t="shared" si="6"/>
        <v>409.71421994000002</v>
      </c>
      <c r="O16" s="367">
        <f t="shared" si="5"/>
        <v>2860.0194975859999</v>
      </c>
      <c r="P16" s="2"/>
    </row>
    <row r="17" spans="1:16" ht="15.75">
      <c r="A17" s="2"/>
      <c r="B17" s="369" t="s">
        <v>322</v>
      </c>
      <c r="C17" s="366">
        <v>144.60907633900001</v>
      </c>
      <c r="D17" s="366">
        <v>145.91472842499996</v>
      </c>
      <c r="E17" s="366">
        <v>148.80743851599999</v>
      </c>
      <c r="F17" s="366">
        <v>146.48887360699999</v>
      </c>
      <c r="G17" s="366">
        <v>145.67584371200002</v>
      </c>
      <c r="H17" s="366">
        <v>167.36968603600002</v>
      </c>
      <c r="I17" s="366">
        <v>159.65098520699996</v>
      </c>
      <c r="J17" s="366">
        <v>146.031096749</v>
      </c>
      <c r="K17" s="366">
        <v>147.71892566299999</v>
      </c>
      <c r="L17" s="366">
        <v>148.36152545800002</v>
      </c>
      <c r="M17" s="366">
        <v>151.086246921</v>
      </c>
      <c r="N17" s="366">
        <v>276.58923282000001</v>
      </c>
      <c r="O17" s="367">
        <f t="shared" si="5"/>
        <v>1928.3036594530001</v>
      </c>
      <c r="P17" s="2"/>
    </row>
    <row r="18" spans="1:16" ht="15.75">
      <c r="A18" s="2"/>
      <c r="B18" s="369" t="s">
        <v>323</v>
      </c>
      <c r="C18" s="366">
        <v>58.200583570999996</v>
      </c>
      <c r="D18" s="366">
        <v>67.242008584999994</v>
      </c>
      <c r="E18" s="366">
        <v>90.746248344000009</v>
      </c>
      <c r="F18" s="366">
        <v>70.284025393000007</v>
      </c>
      <c r="G18" s="366">
        <v>84.092837248000009</v>
      </c>
      <c r="H18" s="366">
        <v>87.67431563400001</v>
      </c>
      <c r="I18" s="366">
        <v>80.933337872999999</v>
      </c>
      <c r="J18" s="366">
        <v>61.378303880999987</v>
      </c>
      <c r="K18" s="366">
        <v>49.716902796999996</v>
      </c>
      <c r="L18" s="366">
        <v>74.594726511999994</v>
      </c>
      <c r="M18" s="366">
        <v>73.727561175000005</v>
      </c>
      <c r="N18" s="366">
        <v>133.12498711999999</v>
      </c>
      <c r="O18" s="367">
        <f t="shared" si="5"/>
        <v>931.71583813300003</v>
      </c>
      <c r="P18" s="2"/>
    </row>
    <row r="19" spans="1:16" ht="15.75">
      <c r="A19" s="2"/>
      <c r="B19" s="368" t="s">
        <v>352</v>
      </c>
      <c r="C19" s="366">
        <v>74.311932959999993</v>
      </c>
      <c r="D19" s="366">
        <v>21.221230110000004</v>
      </c>
      <c r="E19" s="366">
        <v>26.842943720000001</v>
      </c>
      <c r="F19" s="366">
        <v>35.399160859999995</v>
      </c>
      <c r="G19" s="366">
        <v>24.075728120000001</v>
      </c>
      <c r="H19" s="366">
        <v>66.971946810000006</v>
      </c>
      <c r="I19" s="366">
        <v>96.788480800000016</v>
      </c>
      <c r="J19" s="366">
        <v>27.716518119999996</v>
      </c>
      <c r="K19" s="366">
        <v>26.413525509999999</v>
      </c>
      <c r="L19" s="366">
        <v>37.207947130000001</v>
      </c>
      <c r="M19" s="366">
        <v>23.950027920000004</v>
      </c>
      <c r="N19" s="366">
        <v>56.99605554</v>
      </c>
      <c r="O19" s="367">
        <f t="shared" si="5"/>
        <v>517.8954976</v>
      </c>
      <c r="P19" s="2"/>
    </row>
    <row r="20" spans="1:16" ht="15.75">
      <c r="A20" s="2"/>
      <c r="B20" s="368" t="s">
        <v>325</v>
      </c>
      <c r="C20" s="366">
        <v>56.324493279999999</v>
      </c>
      <c r="D20" s="366">
        <v>96.002943239999993</v>
      </c>
      <c r="E20" s="366">
        <v>112.21232497</v>
      </c>
      <c r="F20" s="366">
        <v>90.30795603</v>
      </c>
      <c r="G20" s="366">
        <v>109.44786311</v>
      </c>
      <c r="H20" s="366">
        <v>79.839049279999998</v>
      </c>
      <c r="I20" s="366">
        <v>92.429927820000003</v>
      </c>
      <c r="J20" s="366">
        <v>62.425529300000001</v>
      </c>
      <c r="K20" s="366">
        <v>44.342087630000002</v>
      </c>
      <c r="L20" s="366">
        <v>71.315417150000002</v>
      </c>
      <c r="M20" s="366">
        <v>76.222639319999999</v>
      </c>
      <c r="N20" s="366">
        <v>77.362281330000002</v>
      </c>
      <c r="O20" s="367">
        <f t="shared" si="5"/>
        <v>968.23251246000007</v>
      </c>
      <c r="P20" s="2"/>
    </row>
    <row r="21" spans="1:16" ht="21" customHeight="1">
      <c r="A21" s="2"/>
      <c r="B21" s="365" t="s">
        <v>259</v>
      </c>
      <c r="C21" s="366">
        <f>+C22+C23</f>
        <v>40.184739079999993</v>
      </c>
      <c r="D21" s="366">
        <f t="shared" ref="D21:N21" si="7">+D22+D23</f>
        <v>69.729129970000002</v>
      </c>
      <c r="E21" s="366">
        <f t="shared" si="7"/>
        <v>60.599979493900001</v>
      </c>
      <c r="F21" s="366">
        <f t="shared" si="7"/>
        <v>43.912491909999993</v>
      </c>
      <c r="G21" s="366">
        <f t="shared" si="7"/>
        <v>52.10637783</v>
      </c>
      <c r="H21" s="366">
        <f t="shared" si="7"/>
        <v>50.100620758900007</v>
      </c>
      <c r="I21" s="366">
        <f t="shared" si="7"/>
        <v>77.636377559999985</v>
      </c>
      <c r="J21" s="366">
        <f t="shared" si="7"/>
        <v>50.015244330000002</v>
      </c>
      <c r="K21" s="366">
        <f t="shared" si="7"/>
        <v>57.861763050000008</v>
      </c>
      <c r="L21" s="366">
        <f t="shared" si="7"/>
        <v>43.263193579999999</v>
      </c>
      <c r="M21" s="366">
        <f t="shared" si="7"/>
        <v>61.239684919999988</v>
      </c>
      <c r="N21" s="366">
        <f t="shared" si="7"/>
        <v>62.109539353299994</v>
      </c>
      <c r="O21" s="367">
        <f t="shared" si="5"/>
        <v>668.75914183609996</v>
      </c>
      <c r="P21" s="2"/>
    </row>
    <row r="22" spans="1:16" ht="15.75">
      <c r="A22" s="2"/>
      <c r="B22" s="368" t="s">
        <v>260</v>
      </c>
      <c r="C22" s="366">
        <v>39.050394159999996</v>
      </c>
      <c r="D22" s="366">
        <v>46.447277010000001</v>
      </c>
      <c r="E22" s="366">
        <v>59.119296283899999</v>
      </c>
      <c r="F22" s="366">
        <v>43.306407529999994</v>
      </c>
      <c r="G22" s="366">
        <v>51.398861359999998</v>
      </c>
      <c r="H22" s="366">
        <v>49.152773538900007</v>
      </c>
      <c r="I22" s="366">
        <v>67.35323661999999</v>
      </c>
      <c r="J22" s="366">
        <v>45.032852460000001</v>
      </c>
      <c r="K22" s="366">
        <v>55.263047770000007</v>
      </c>
      <c r="L22" s="366">
        <v>42.574742719999996</v>
      </c>
      <c r="M22" s="366">
        <v>59.75117715999999</v>
      </c>
      <c r="N22" s="366">
        <v>60.666513343299997</v>
      </c>
      <c r="O22" s="367">
        <f t="shared" si="5"/>
        <v>619.11657995610005</v>
      </c>
      <c r="P22" s="2"/>
    </row>
    <row r="23" spans="1:16" ht="15.75">
      <c r="A23" s="2"/>
      <c r="B23" s="368" t="s">
        <v>326</v>
      </c>
      <c r="C23" s="366">
        <v>1.13434492</v>
      </c>
      <c r="D23" s="366">
        <v>23.281852960000002</v>
      </c>
      <c r="E23" s="366">
        <v>1.48068321</v>
      </c>
      <c r="F23" s="366">
        <v>0.60608437999999998</v>
      </c>
      <c r="G23" s="366">
        <v>0.70751646999999995</v>
      </c>
      <c r="H23" s="366">
        <v>0.94784721999999999</v>
      </c>
      <c r="I23" s="366">
        <v>10.283140940000001</v>
      </c>
      <c r="J23" s="366">
        <v>4.9823918699999998</v>
      </c>
      <c r="K23" s="366">
        <v>2.5987152799999995</v>
      </c>
      <c r="L23" s="366">
        <v>0.68845085999999989</v>
      </c>
      <c r="M23" s="366">
        <v>1.4885077600000001</v>
      </c>
      <c r="N23" s="366">
        <v>1.4430260100000001</v>
      </c>
      <c r="O23" s="367">
        <f t="shared" si="5"/>
        <v>49.642561880000002</v>
      </c>
      <c r="P23" s="2"/>
    </row>
    <row r="24" spans="1:16" ht="21" customHeight="1">
      <c r="A24" s="2"/>
      <c r="B24" s="365" t="s">
        <v>327</v>
      </c>
      <c r="C24" s="366">
        <v>0</v>
      </c>
      <c r="D24" s="366">
        <v>0</v>
      </c>
      <c r="E24" s="366">
        <v>0</v>
      </c>
      <c r="F24" s="366">
        <v>0</v>
      </c>
      <c r="G24" s="366">
        <v>-7.117822E-2</v>
      </c>
      <c r="H24" s="366">
        <v>-0.22248789999999999</v>
      </c>
      <c r="I24" s="366">
        <v>0</v>
      </c>
      <c r="J24" s="366">
        <v>0</v>
      </c>
      <c r="K24" s="366">
        <v>0</v>
      </c>
      <c r="L24" s="366">
        <v>0</v>
      </c>
      <c r="M24" s="366">
        <v>0</v>
      </c>
      <c r="N24" s="366">
        <v>0</v>
      </c>
      <c r="O24" s="367">
        <f t="shared" si="5"/>
        <v>-0.29366611999999997</v>
      </c>
      <c r="P24" s="2"/>
    </row>
    <row r="25" spans="1:16" ht="24.95" customHeight="1">
      <c r="A25" s="2"/>
      <c r="B25" s="362" t="s">
        <v>269</v>
      </c>
      <c r="C25" s="363">
        <f t="shared" ref="C25:N25" si="8">C8-C15</f>
        <v>21.344793040000013</v>
      </c>
      <c r="D25" s="363">
        <f t="shared" si="8"/>
        <v>-20.617163619999928</v>
      </c>
      <c r="E25" s="363">
        <f t="shared" si="8"/>
        <v>-37.046554051999976</v>
      </c>
      <c r="F25" s="363">
        <f t="shared" si="8"/>
        <v>213.1465959840001</v>
      </c>
      <c r="G25" s="363">
        <f t="shared" si="8"/>
        <v>-33.257076926000138</v>
      </c>
      <c r="H25" s="363">
        <f t="shared" si="8"/>
        <v>-85.456546315499963</v>
      </c>
      <c r="I25" s="363">
        <f t="shared" si="8"/>
        <v>-109.3988139176999</v>
      </c>
      <c r="J25" s="363">
        <f t="shared" si="8"/>
        <v>36.19851693999999</v>
      </c>
      <c r="K25" s="363">
        <f t="shared" si="8"/>
        <v>45.412063344000046</v>
      </c>
      <c r="L25" s="363">
        <f t="shared" si="8"/>
        <v>5.2093145539999455</v>
      </c>
      <c r="M25" s="363">
        <f t="shared" si="8"/>
        <v>27.875741841999968</v>
      </c>
      <c r="N25" s="363">
        <f t="shared" si="8"/>
        <v>-109.98195757800005</v>
      </c>
      <c r="O25" s="364">
        <f>SUM(C25:N25)</f>
        <v>-46.571086705199889</v>
      </c>
      <c r="P25" s="2"/>
    </row>
    <row r="26" spans="1:16" ht="39.950000000000003" customHeight="1">
      <c r="A26" s="2"/>
      <c r="B26" s="372" t="s">
        <v>354</v>
      </c>
      <c r="C26" s="363">
        <f>C28+C19</f>
        <v>65.190233760000027</v>
      </c>
      <c r="D26" s="363">
        <f t="shared" ref="D26:N26" si="9">D28+D19</f>
        <v>-57.166964129999897</v>
      </c>
      <c r="E26" s="363">
        <f t="shared" si="9"/>
        <v>-50.280751275899938</v>
      </c>
      <c r="F26" s="363">
        <f t="shared" si="9"/>
        <v>229.48763024400017</v>
      </c>
      <c r="G26" s="363">
        <f t="shared" si="9"/>
        <v>-50.937421866000143</v>
      </c>
      <c r="H26" s="363">
        <f t="shared" si="9"/>
        <v>-53.629555564399951</v>
      </c>
      <c r="I26" s="363">
        <f t="shared" si="9"/>
        <v>-80.770647647699874</v>
      </c>
      <c r="J26" s="363">
        <f t="shared" si="9"/>
        <v>31.32262072999999</v>
      </c>
      <c r="K26" s="363">
        <f t="shared" si="9"/>
        <v>34.150475803999996</v>
      </c>
      <c r="L26" s="363">
        <f t="shared" si="9"/>
        <v>19.223708103999932</v>
      </c>
      <c r="M26" s="363">
        <f t="shared" si="9"/>
        <v>-2.2076815280000446</v>
      </c>
      <c r="N26" s="363">
        <f t="shared" si="9"/>
        <v>-67.489998231300021</v>
      </c>
      <c r="O26" s="364">
        <f>SUM(C26:N26)</f>
        <v>16.891648398700241</v>
      </c>
      <c r="P26" s="2"/>
    </row>
    <row r="27" spans="1:16" ht="24.95" customHeight="1">
      <c r="A27" s="2"/>
      <c r="B27" s="373" t="s">
        <v>328</v>
      </c>
      <c r="C27" s="366"/>
      <c r="D27" s="366"/>
      <c r="E27" s="366"/>
      <c r="F27" s="366"/>
      <c r="G27" s="366"/>
      <c r="H27" s="366"/>
      <c r="I27" s="366"/>
      <c r="J27" s="366"/>
      <c r="K27" s="366"/>
      <c r="L27" s="366"/>
      <c r="M27" s="366"/>
      <c r="N27" s="366"/>
      <c r="O27" s="364"/>
      <c r="P27" s="2"/>
    </row>
    <row r="28" spans="1:16" ht="21" customHeight="1">
      <c r="A28" s="2"/>
      <c r="B28" s="374" t="s">
        <v>329</v>
      </c>
      <c r="C28" s="363">
        <f t="shared" ref="C28:N28" si="10">C7-C14</f>
        <v>-9.1216991999999664</v>
      </c>
      <c r="D28" s="363">
        <f t="shared" si="10"/>
        <v>-78.388194239999905</v>
      </c>
      <c r="E28" s="363">
        <f t="shared" si="10"/>
        <v>-77.123694995899939</v>
      </c>
      <c r="F28" s="363">
        <f t="shared" si="10"/>
        <v>194.08846938400018</v>
      </c>
      <c r="G28" s="363">
        <f t="shared" si="10"/>
        <v>-75.013149986000144</v>
      </c>
      <c r="H28" s="363">
        <f t="shared" si="10"/>
        <v>-120.60150237439996</v>
      </c>
      <c r="I28" s="363">
        <f t="shared" si="10"/>
        <v>-177.55912844769989</v>
      </c>
      <c r="J28" s="363">
        <f t="shared" si="10"/>
        <v>3.6061026099999935</v>
      </c>
      <c r="K28" s="363">
        <f t="shared" si="10"/>
        <v>7.7369502939999961</v>
      </c>
      <c r="L28" s="363">
        <f t="shared" si="10"/>
        <v>-17.984239026000068</v>
      </c>
      <c r="M28" s="363">
        <f t="shared" si="10"/>
        <v>-26.157709448000048</v>
      </c>
      <c r="N28" s="363">
        <f t="shared" si="10"/>
        <v>-124.48605377130002</v>
      </c>
      <c r="O28" s="364">
        <f t="shared" ref="O28:O42" si="11">SUM(C28:N28)</f>
        <v>-501.00384920129977</v>
      </c>
      <c r="P28" s="2"/>
    </row>
    <row r="29" spans="1:16" ht="21" customHeight="1">
      <c r="A29" s="2"/>
      <c r="B29" s="374" t="s">
        <v>330</v>
      </c>
      <c r="C29" s="363">
        <f t="shared" ref="C29:N29" si="12">C28-C13</f>
        <v>-18.839946039999965</v>
      </c>
      <c r="D29" s="363">
        <f t="shared" si="12"/>
        <v>-90.346293589999902</v>
      </c>
      <c r="E29" s="363">
        <f t="shared" si="12"/>
        <v>-97.646533545899942</v>
      </c>
      <c r="F29" s="363">
        <f t="shared" si="12"/>
        <v>169.34388938400019</v>
      </c>
      <c r="G29" s="363">
        <f t="shared" si="12"/>
        <v>-85.266679986000142</v>
      </c>
      <c r="H29" s="363">
        <f t="shared" si="12"/>
        <v>-135.33467917439995</v>
      </c>
      <c r="I29" s="363">
        <f t="shared" si="12"/>
        <v>-187.0351914776999</v>
      </c>
      <c r="J29" s="363">
        <f t="shared" si="12"/>
        <v>-13.816727390000004</v>
      </c>
      <c r="K29" s="363">
        <f t="shared" si="12"/>
        <v>-12.449699706000004</v>
      </c>
      <c r="L29" s="363">
        <f t="shared" si="12"/>
        <v>-38.053879026000075</v>
      </c>
      <c r="M29" s="363">
        <f t="shared" si="12"/>
        <v>-33.359749448000045</v>
      </c>
      <c r="N29" s="363">
        <f t="shared" si="12"/>
        <v>-172.06808055130003</v>
      </c>
      <c r="O29" s="364">
        <f t="shared" si="11"/>
        <v>-714.87357055129962</v>
      </c>
      <c r="P29" s="2"/>
    </row>
    <row r="30" spans="1:16" ht="21" customHeight="1">
      <c r="A30" s="2"/>
      <c r="B30" s="374" t="s">
        <v>355</v>
      </c>
      <c r="C30" s="363">
        <f t="shared" ref="C30:N30" si="13">C28-C47</f>
        <v>-42.428761829999964</v>
      </c>
      <c r="D30" s="363">
        <f t="shared" si="13"/>
        <v>-109.4736666499999</v>
      </c>
      <c r="E30" s="363">
        <f t="shared" si="13"/>
        <v>-109.82739650589994</v>
      </c>
      <c r="F30" s="363">
        <f t="shared" si="13"/>
        <v>162.32786754400018</v>
      </c>
      <c r="G30" s="363">
        <f t="shared" si="13"/>
        <v>-106.36405523600014</v>
      </c>
      <c r="H30" s="363">
        <f t="shared" si="13"/>
        <v>-151.97219943439995</v>
      </c>
      <c r="I30" s="363">
        <f t="shared" si="13"/>
        <v>-209.52572874769987</v>
      </c>
      <c r="J30" s="363">
        <f t="shared" si="13"/>
        <v>-28.104959450000006</v>
      </c>
      <c r="K30" s="363">
        <f t="shared" si="13"/>
        <v>-24.377713046000004</v>
      </c>
      <c r="L30" s="363">
        <f t="shared" si="13"/>
        <v>-50.005708126000066</v>
      </c>
      <c r="M30" s="363">
        <f t="shared" si="13"/>
        <v>-58.651513428000051</v>
      </c>
      <c r="N30" s="363">
        <f t="shared" si="13"/>
        <v>-178.18890363130004</v>
      </c>
      <c r="O30" s="364">
        <f t="shared" si="11"/>
        <v>-906.59273854129981</v>
      </c>
      <c r="P30" s="2"/>
    </row>
    <row r="31" spans="1:16" ht="24.95" customHeight="1">
      <c r="A31" s="2"/>
      <c r="B31" s="362" t="s">
        <v>332</v>
      </c>
      <c r="C31" s="363">
        <f>SUM(C32:C33)</f>
        <v>0.98692800000000247</v>
      </c>
      <c r="D31" s="363">
        <f t="shared" ref="D31:N31" si="14">SUM(D32:D33)</f>
        <v>641.17744025000002</v>
      </c>
      <c r="E31" s="363">
        <f t="shared" si="14"/>
        <v>-17.554788979999998</v>
      </c>
      <c r="F31" s="363">
        <f t="shared" si="14"/>
        <v>-17.08919981</v>
      </c>
      <c r="G31" s="363">
        <f t="shared" si="14"/>
        <v>-29.622559750000001</v>
      </c>
      <c r="H31" s="363">
        <f t="shared" si="14"/>
        <v>-20.32767875</v>
      </c>
      <c r="I31" s="363">
        <f t="shared" si="14"/>
        <v>-565.19432882000001</v>
      </c>
      <c r="J31" s="363">
        <f t="shared" si="14"/>
        <v>-18.829783569999996</v>
      </c>
      <c r="K31" s="363">
        <f t="shared" si="14"/>
        <v>74.354494799999983</v>
      </c>
      <c r="L31" s="363">
        <f t="shared" si="14"/>
        <v>38.246448389999998</v>
      </c>
      <c r="M31" s="363">
        <f t="shared" si="14"/>
        <v>65.306970250000006</v>
      </c>
      <c r="N31" s="363">
        <f t="shared" si="14"/>
        <v>-30.304149000000002</v>
      </c>
      <c r="O31" s="364">
        <f t="shared" si="11"/>
        <v>121.14979301</v>
      </c>
      <c r="P31" s="2"/>
    </row>
    <row r="32" spans="1:16" ht="15.75">
      <c r="A32" s="2"/>
      <c r="B32" s="365" t="s">
        <v>276</v>
      </c>
      <c r="C32" s="366">
        <v>19.045100000000001</v>
      </c>
      <c r="D32" s="366">
        <v>658.7</v>
      </c>
      <c r="E32" s="366">
        <v>4.3</v>
      </c>
      <c r="F32" s="366">
        <v>3.1658599400000003</v>
      </c>
      <c r="G32" s="366">
        <v>0.9</v>
      </c>
      <c r="H32" s="366">
        <v>2.7965610000000001</v>
      </c>
      <c r="I32" s="366">
        <v>104.512756</v>
      </c>
      <c r="J32" s="366">
        <v>0.90860317999999995</v>
      </c>
      <c r="K32" s="366">
        <v>101.52326799999999</v>
      </c>
      <c r="L32" s="366">
        <v>59.278921400000002</v>
      </c>
      <c r="M32" s="366">
        <v>100.8</v>
      </c>
      <c r="N32" s="366">
        <v>11.020429</v>
      </c>
      <c r="O32" s="367">
        <f t="shared" si="11"/>
        <v>1066.9514985199999</v>
      </c>
      <c r="P32" s="329"/>
    </row>
    <row r="33" spans="1:16" ht="15.75">
      <c r="A33" s="2"/>
      <c r="B33" s="365" t="s">
        <v>277</v>
      </c>
      <c r="C33" s="366">
        <v>-18.058171999999999</v>
      </c>
      <c r="D33" s="366">
        <v>-17.522559749999999</v>
      </c>
      <c r="E33" s="366">
        <v>-21.854788979999999</v>
      </c>
      <c r="F33" s="366">
        <v>-20.255059750000001</v>
      </c>
      <c r="G33" s="366">
        <v>-30.522559749999999</v>
      </c>
      <c r="H33" s="366">
        <v>-23.124239750000001</v>
      </c>
      <c r="I33" s="366">
        <v>-669.70708481999998</v>
      </c>
      <c r="J33" s="366">
        <v>-19.738386749999997</v>
      </c>
      <c r="K33" s="366">
        <v>-27.1687732</v>
      </c>
      <c r="L33" s="366">
        <v>-21.03247301</v>
      </c>
      <c r="M33" s="366">
        <v>-35.493029749999998</v>
      </c>
      <c r="N33" s="366">
        <v>-41.324578000000002</v>
      </c>
      <c r="O33" s="367">
        <f t="shared" si="11"/>
        <v>-945.80170551000003</v>
      </c>
      <c r="P33" s="329"/>
    </row>
    <row r="34" spans="1:16" ht="24.95" customHeight="1">
      <c r="A34" s="2"/>
      <c r="B34" s="362" t="s">
        <v>333</v>
      </c>
      <c r="C34" s="363">
        <f>SUM(C35:C41)</f>
        <v>8.1347711999999639</v>
      </c>
      <c r="D34" s="363">
        <f t="shared" ref="D34:N34" si="15">SUM(D35:D41)</f>
        <v>-562.78924601000017</v>
      </c>
      <c r="E34" s="363">
        <f t="shared" si="15"/>
        <v>94.678483975899923</v>
      </c>
      <c r="F34" s="363">
        <f t="shared" si="15"/>
        <v>-176.99926957400015</v>
      </c>
      <c r="G34" s="363">
        <f t="shared" si="15"/>
        <v>104.63570973600014</v>
      </c>
      <c r="H34" s="363">
        <f t="shared" si="15"/>
        <v>140.92918112439997</v>
      </c>
      <c r="I34" s="363">
        <f t="shared" si="15"/>
        <v>742.75345726770001</v>
      </c>
      <c r="J34" s="363">
        <f t="shared" si="15"/>
        <v>15.223680959999999</v>
      </c>
      <c r="K34" s="363">
        <f t="shared" si="15"/>
        <v>-82.09144509399998</v>
      </c>
      <c r="L34" s="363">
        <f t="shared" si="15"/>
        <v>-20.262209363999936</v>
      </c>
      <c r="M34" s="363">
        <f t="shared" si="15"/>
        <v>-39.149260801999958</v>
      </c>
      <c r="N34" s="363">
        <f t="shared" si="15"/>
        <v>154.79020277130002</v>
      </c>
      <c r="O34" s="364">
        <f t="shared" si="11"/>
        <v>379.85405619129978</v>
      </c>
      <c r="P34" s="2"/>
    </row>
    <row r="35" spans="1:16" ht="15.75">
      <c r="A35" s="2"/>
      <c r="B35" s="365" t="s">
        <v>279</v>
      </c>
      <c r="C35" s="366">
        <v>29.2</v>
      </c>
      <c r="D35" s="366">
        <v>-617.97799999999995</v>
      </c>
      <c r="E35" s="366">
        <v>50.951000000000001</v>
      </c>
      <c r="F35" s="366">
        <v>-21.527999999999999</v>
      </c>
      <c r="G35" s="366">
        <v>-41.23685622</v>
      </c>
      <c r="H35" s="366">
        <v>110.485</v>
      </c>
      <c r="I35" s="366">
        <v>646.06200000000001</v>
      </c>
      <c r="J35" s="366">
        <v>29.240333539999995</v>
      </c>
      <c r="K35" s="366">
        <v>-41.849999999999994</v>
      </c>
      <c r="L35" s="366">
        <v>-27.660999999999991</v>
      </c>
      <c r="M35" s="366">
        <v>1.8099999999999996</v>
      </c>
      <c r="N35" s="366">
        <v>82.677526</v>
      </c>
      <c r="O35" s="367">
        <f t="shared" si="11"/>
        <v>200.1720033200001</v>
      </c>
      <c r="P35" s="2"/>
    </row>
    <row r="36" spans="1:16" ht="15.75">
      <c r="A36" s="2"/>
      <c r="B36" s="376" t="s">
        <v>282</v>
      </c>
      <c r="C36" s="366">
        <v>-44.967000000000006</v>
      </c>
      <c r="D36" s="366">
        <v>12.969463510000001</v>
      </c>
      <c r="E36" s="366">
        <v>61.001832690000008</v>
      </c>
      <c r="F36" s="366">
        <v>-193.49199508999999</v>
      </c>
      <c r="G36" s="366">
        <v>149.45697462000001</v>
      </c>
      <c r="H36" s="366">
        <v>105.99611468000001</v>
      </c>
      <c r="I36" s="366">
        <v>53.168458139999998</v>
      </c>
      <c r="J36" s="366">
        <v>19.804133280000009</v>
      </c>
      <c r="K36" s="366">
        <v>-27.270068460000001</v>
      </c>
      <c r="L36" s="366">
        <v>3.1558303800000003</v>
      </c>
      <c r="M36" s="366">
        <v>-51.40315768</v>
      </c>
      <c r="N36" s="366">
        <v>75.043844269999994</v>
      </c>
      <c r="O36" s="367">
        <f t="shared" si="11"/>
        <v>163.46443034000004</v>
      </c>
      <c r="P36" s="2"/>
    </row>
    <row r="37" spans="1:16" ht="15.75">
      <c r="A37" s="2"/>
      <c r="B37" s="376" t="s">
        <v>283</v>
      </c>
      <c r="C37" s="366">
        <v>0</v>
      </c>
      <c r="D37" s="366">
        <v>0</v>
      </c>
      <c r="E37" s="366">
        <v>0</v>
      </c>
      <c r="F37" s="366">
        <v>0</v>
      </c>
      <c r="G37" s="366">
        <v>0</v>
      </c>
      <c r="H37" s="366">
        <v>0</v>
      </c>
      <c r="I37" s="366">
        <v>0</v>
      </c>
      <c r="J37" s="366">
        <v>0</v>
      </c>
      <c r="K37" s="366">
        <v>0</v>
      </c>
      <c r="L37" s="366">
        <v>0</v>
      </c>
      <c r="M37" s="366">
        <v>0</v>
      </c>
      <c r="N37" s="366">
        <v>0</v>
      </c>
      <c r="O37" s="367">
        <f t="shared" si="11"/>
        <v>0</v>
      </c>
      <c r="P37" s="2"/>
    </row>
    <row r="38" spans="1:16" ht="15.75">
      <c r="A38" s="2"/>
      <c r="B38" s="376" t="s">
        <v>284</v>
      </c>
      <c r="C38" s="366">
        <v>28.465407469999995</v>
      </c>
      <c r="D38" s="366">
        <v>29.318400400000002</v>
      </c>
      <c r="E38" s="366">
        <v>31.279619780000004</v>
      </c>
      <c r="F38" s="366">
        <v>66.166480370000002</v>
      </c>
      <c r="G38" s="366">
        <v>29.816324899999994</v>
      </c>
      <c r="H38" s="366">
        <v>19.155369070000003</v>
      </c>
      <c r="I38" s="366">
        <v>40.123742029999988</v>
      </c>
      <c r="J38" s="366">
        <v>16.429576369999999</v>
      </c>
      <c r="K38" s="366">
        <v>50.175189669999995</v>
      </c>
      <c r="L38" s="366">
        <v>18.932333339999996</v>
      </c>
      <c r="M38" s="366">
        <v>32.347553340000005</v>
      </c>
      <c r="N38" s="366">
        <v>66.527979920000007</v>
      </c>
      <c r="O38" s="367">
        <f t="shared" si="11"/>
        <v>428.73797665999996</v>
      </c>
      <c r="P38" s="2"/>
    </row>
    <row r="39" spans="1:16" ht="15.75">
      <c r="A39" s="2"/>
      <c r="B39" s="376" t="s">
        <v>334</v>
      </c>
      <c r="C39" s="366">
        <v>0</v>
      </c>
      <c r="D39" s="366">
        <v>0</v>
      </c>
      <c r="E39" s="366">
        <v>0</v>
      </c>
      <c r="F39" s="366">
        <v>0</v>
      </c>
      <c r="G39" s="366">
        <v>0</v>
      </c>
      <c r="H39" s="366">
        <v>0</v>
      </c>
      <c r="I39" s="366">
        <v>0</v>
      </c>
      <c r="J39" s="366">
        <v>0</v>
      </c>
      <c r="K39" s="366">
        <v>0</v>
      </c>
      <c r="L39" s="366">
        <v>0</v>
      </c>
      <c r="M39" s="366">
        <v>0</v>
      </c>
      <c r="N39" s="366">
        <v>0</v>
      </c>
      <c r="O39" s="367">
        <f t="shared" si="11"/>
        <v>0</v>
      </c>
      <c r="P39" s="2"/>
    </row>
    <row r="40" spans="1:16" ht="15.75">
      <c r="A40" s="2"/>
      <c r="B40" s="376" t="s">
        <v>335</v>
      </c>
      <c r="C40" s="366">
        <v>-33.307062629999997</v>
      </c>
      <c r="D40" s="366">
        <v>-31.085472410000001</v>
      </c>
      <c r="E40" s="366">
        <v>-32.703701510000002</v>
      </c>
      <c r="F40" s="366">
        <v>-31.76060184</v>
      </c>
      <c r="G40" s="366">
        <v>-31.350905249999997</v>
      </c>
      <c r="H40" s="366">
        <v>-31.370697060000001</v>
      </c>
      <c r="I40" s="366">
        <v>-31.966600299999996</v>
      </c>
      <c r="J40" s="366">
        <v>-31.71106206</v>
      </c>
      <c r="K40" s="366">
        <v>-32.11466334</v>
      </c>
      <c r="L40" s="366">
        <v>-32.021469099999997</v>
      </c>
      <c r="M40" s="366">
        <v>-32.493803980000003</v>
      </c>
      <c r="N40" s="366">
        <v>-53.702849860000001</v>
      </c>
      <c r="O40" s="367">
        <f t="shared" si="11"/>
        <v>-405.58888933999998</v>
      </c>
      <c r="P40" s="2"/>
    </row>
    <row r="41" spans="1:16" ht="15.75">
      <c r="A41" s="2"/>
      <c r="B41" s="376" t="s">
        <v>336</v>
      </c>
      <c r="C41" s="366">
        <v>28.743426359999972</v>
      </c>
      <c r="D41" s="366">
        <v>43.986362489999841</v>
      </c>
      <c r="E41" s="366">
        <v>-15.850266984100074</v>
      </c>
      <c r="F41" s="366">
        <v>3.6148469859998045</v>
      </c>
      <c r="G41" s="366">
        <v>-2.0498283139998676</v>
      </c>
      <c r="H41" s="366">
        <v>-63.336605565600053</v>
      </c>
      <c r="I41" s="366">
        <v>35.365857397699926</v>
      </c>
      <c r="J41" s="366">
        <v>-18.539300170000001</v>
      </c>
      <c r="K41" s="366">
        <v>-31.031902963999975</v>
      </c>
      <c r="L41" s="366">
        <v>17.332096016000058</v>
      </c>
      <c r="M41" s="366">
        <v>10.590147518000038</v>
      </c>
      <c r="N41" s="366">
        <v>-15.756297558699998</v>
      </c>
      <c r="O41" s="367">
        <f t="shared" si="11"/>
        <v>-6.9314647887003353</v>
      </c>
      <c r="P41" s="2"/>
    </row>
    <row r="42" spans="1:16" ht="24.95" customHeight="1" thickBot="1">
      <c r="A42" s="2"/>
      <c r="B42" s="377" t="s">
        <v>337</v>
      </c>
      <c r="C42" s="378">
        <f t="shared" ref="C42:N42" si="16">-C28-C31-C34</f>
        <v>0</v>
      </c>
      <c r="D42" s="378">
        <f t="shared" si="16"/>
        <v>0</v>
      </c>
      <c r="E42" s="378">
        <f t="shared" si="16"/>
        <v>0</v>
      </c>
      <c r="F42" s="378">
        <f t="shared" si="16"/>
        <v>0</v>
      </c>
      <c r="G42" s="378">
        <f t="shared" si="16"/>
        <v>0</v>
      </c>
      <c r="H42" s="378">
        <f t="shared" si="16"/>
        <v>0</v>
      </c>
      <c r="I42" s="378">
        <f t="shared" si="16"/>
        <v>0</v>
      </c>
      <c r="J42" s="378">
        <f t="shared" si="16"/>
        <v>0</v>
      </c>
      <c r="K42" s="378">
        <f t="shared" si="16"/>
        <v>0</v>
      </c>
      <c r="L42" s="378">
        <f t="shared" si="16"/>
        <v>0</v>
      </c>
      <c r="M42" s="378">
        <f t="shared" si="16"/>
        <v>0</v>
      </c>
      <c r="N42" s="378">
        <f t="shared" si="16"/>
        <v>0</v>
      </c>
      <c r="O42" s="379">
        <f t="shared" si="11"/>
        <v>0</v>
      </c>
      <c r="P42" s="2"/>
    </row>
    <row r="43" spans="1:16" ht="15.75">
      <c r="A43" s="2"/>
      <c r="B43" s="48" t="s">
        <v>338</v>
      </c>
      <c r="C43" s="380"/>
      <c r="D43" s="380"/>
      <c r="E43" s="380"/>
      <c r="F43" s="380"/>
      <c r="G43" s="380"/>
      <c r="H43" s="380"/>
      <c r="I43" s="380"/>
      <c r="J43" s="380"/>
      <c r="K43" s="380"/>
      <c r="L43" s="380"/>
      <c r="M43" s="380"/>
      <c r="N43" s="380"/>
      <c r="O43" s="268"/>
      <c r="P43" s="2"/>
    </row>
    <row r="44" spans="1:16" ht="15.75">
      <c r="A44" s="2"/>
      <c r="B44" s="48" t="s">
        <v>356</v>
      </c>
      <c r="C44" s="380"/>
      <c r="D44" s="380"/>
      <c r="E44" s="380"/>
      <c r="F44" s="380"/>
      <c r="G44" s="380"/>
      <c r="H44" s="380"/>
      <c r="I44" s="380"/>
      <c r="J44" s="380"/>
      <c r="K44" s="380"/>
      <c r="L44" s="380"/>
      <c r="M44" s="380"/>
      <c r="N44" s="380"/>
      <c r="O44" s="268"/>
      <c r="P44" s="2"/>
    </row>
    <row r="45" spans="1:16">
      <c r="A45" s="2"/>
      <c r="B45" s="329"/>
      <c r="C45" s="268"/>
      <c r="D45" s="268"/>
      <c r="E45" s="268"/>
      <c r="F45" s="268"/>
      <c r="G45" s="268"/>
      <c r="H45" s="268"/>
      <c r="I45" s="268"/>
      <c r="J45" s="268"/>
      <c r="K45" s="268"/>
      <c r="L45" s="268"/>
      <c r="M45" s="268"/>
      <c r="N45" s="268"/>
      <c r="O45" s="268"/>
      <c r="P45" s="329"/>
    </row>
    <row r="46" spans="1:16" ht="16.5" thickBot="1">
      <c r="A46" s="2"/>
      <c r="B46" s="353" t="s">
        <v>340</v>
      </c>
      <c r="C46" s="268"/>
      <c r="D46" s="268"/>
      <c r="E46" s="268"/>
      <c r="F46" s="268"/>
      <c r="G46" s="268"/>
      <c r="H46" s="268"/>
      <c r="I46" s="268"/>
      <c r="J46" s="268"/>
      <c r="K46" s="268"/>
      <c r="L46" s="268"/>
      <c r="M46" s="268"/>
      <c r="N46" s="268"/>
      <c r="O46" s="268"/>
      <c r="P46" s="329"/>
    </row>
    <row r="47" spans="1:16" ht="24.95" customHeight="1" thickBot="1">
      <c r="A47" s="2"/>
      <c r="B47" s="407" t="s">
        <v>357</v>
      </c>
      <c r="C47" s="413">
        <v>33.307062629999997</v>
      </c>
      <c r="D47" s="414">
        <v>31.085472410000001</v>
      </c>
      <c r="E47" s="414">
        <v>32.703701510000002</v>
      </c>
      <c r="F47" s="414">
        <v>31.76060184</v>
      </c>
      <c r="G47" s="414">
        <v>31.350905249999997</v>
      </c>
      <c r="H47" s="414">
        <v>31.370697060000001</v>
      </c>
      <c r="I47" s="414">
        <v>31.966600299999996</v>
      </c>
      <c r="J47" s="414">
        <v>31.71106206</v>
      </c>
      <c r="K47" s="414">
        <v>32.11466334</v>
      </c>
      <c r="L47" s="414">
        <v>32.021469099999997</v>
      </c>
      <c r="M47" s="414">
        <v>32.493803980000003</v>
      </c>
      <c r="N47" s="415">
        <v>53.702849860000001</v>
      </c>
      <c r="O47" s="416">
        <f>SUM(C47:N47)</f>
        <v>405.58888933999998</v>
      </c>
      <c r="P47" s="329"/>
    </row>
    <row r="48" spans="1:16" ht="15.75">
      <c r="B48" s="353" t="s">
        <v>18</v>
      </c>
      <c r="C48" s="268"/>
      <c r="D48" s="268"/>
      <c r="E48" s="268"/>
      <c r="F48" s="268"/>
      <c r="G48" s="268"/>
      <c r="H48" s="268"/>
      <c r="I48" s="268"/>
      <c r="J48" s="268"/>
      <c r="K48" s="268"/>
      <c r="L48" s="268"/>
      <c r="M48" s="268"/>
      <c r="N48" s="268"/>
      <c r="O48" s="268"/>
    </row>
    <row r="49" spans="2:15" ht="15.75">
      <c r="B49" s="353" t="s">
        <v>506</v>
      </c>
      <c r="C49" s="268"/>
      <c r="D49" s="268"/>
      <c r="E49" s="268"/>
      <c r="F49" s="268"/>
      <c r="G49" s="268"/>
      <c r="H49" s="268"/>
      <c r="I49" s="268"/>
      <c r="J49" s="268"/>
      <c r="K49" s="268"/>
      <c r="L49" s="268"/>
      <c r="M49" s="268"/>
      <c r="N49" s="268"/>
      <c r="O49" s="268"/>
    </row>
    <row r="50" spans="2:15" ht="15.75">
      <c r="B50" s="353" t="s">
        <v>55</v>
      </c>
      <c r="C50" s="2"/>
      <c r="D50" s="2"/>
      <c r="E50" s="2"/>
      <c r="F50" s="2"/>
      <c r="G50" s="2"/>
      <c r="H50" s="2"/>
      <c r="I50" s="2"/>
      <c r="J50" s="2"/>
      <c r="K50" s="2"/>
      <c r="L50" s="2"/>
      <c r="M50" s="2"/>
      <c r="N50" s="2"/>
      <c r="O50" s="2"/>
    </row>
    <row r="51" spans="2:15" ht="15.75" thickBot="1">
      <c r="B51" s="2"/>
      <c r="C51" s="2"/>
      <c r="D51" s="2"/>
      <c r="E51" s="2"/>
      <c r="F51" s="2"/>
      <c r="G51" s="2"/>
      <c r="H51" s="2"/>
      <c r="I51" s="2"/>
      <c r="J51" s="2"/>
      <c r="K51" s="2"/>
      <c r="L51" s="2"/>
      <c r="M51" s="2"/>
      <c r="N51" s="2"/>
      <c r="O51" s="2"/>
    </row>
    <row r="52" spans="2:15" ht="31.5">
      <c r="B52" s="355" t="s">
        <v>238</v>
      </c>
      <c r="C52" s="356" t="s">
        <v>59</v>
      </c>
      <c r="D52" s="356" t="s">
        <v>60</v>
      </c>
      <c r="E52" s="356" t="s">
        <v>61</v>
      </c>
      <c r="F52" s="356" t="s">
        <v>62</v>
      </c>
      <c r="G52" s="356" t="s">
        <v>63</v>
      </c>
      <c r="H52" s="356" t="s">
        <v>64</v>
      </c>
      <c r="I52" s="356" t="s">
        <v>65</v>
      </c>
      <c r="J52" s="356" t="s">
        <v>66</v>
      </c>
      <c r="K52" s="356" t="s">
        <v>67</v>
      </c>
      <c r="L52" s="356" t="s">
        <v>68</v>
      </c>
      <c r="M52" s="356" t="s">
        <v>69</v>
      </c>
      <c r="N52" s="356" t="s">
        <v>70</v>
      </c>
      <c r="O52" s="357" t="s">
        <v>505</v>
      </c>
    </row>
    <row r="53" spans="2:15" ht="15.75">
      <c r="B53" s="358"/>
      <c r="C53" s="359"/>
      <c r="D53" s="359"/>
      <c r="E53" s="359"/>
      <c r="F53" s="359"/>
      <c r="G53" s="359"/>
      <c r="H53" s="359"/>
      <c r="I53" s="359"/>
      <c r="J53" s="359"/>
      <c r="K53" s="359"/>
      <c r="L53" s="359"/>
      <c r="M53" s="359"/>
      <c r="N53" s="359"/>
      <c r="O53" s="360"/>
    </row>
    <row r="54" spans="2:15" ht="24.95" customHeight="1">
      <c r="B54" s="390" t="s">
        <v>239</v>
      </c>
      <c r="C54" s="391">
        <f t="shared" ref="C54:O69" si="17">C7/$O$89</f>
        <v>1.7970473256464035E-2</v>
      </c>
      <c r="D54" s="391">
        <f t="shared" si="17"/>
        <v>1.5861040007828918E-2</v>
      </c>
      <c r="E54" s="391">
        <f t="shared" si="17"/>
        <v>1.785097452486667E-2</v>
      </c>
      <c r="F54" s="391">
        <f t="shared" si="17"/>
        <v>2.8617988224285622E-2</v>
      </c>
      <c r="G54" s="391">
        <f t="shared" si="17"/>
        <v>1.6777657902718329E-2</v>
      </c>
      <c r="H54" s="391">
        <f t="shared" si="17"/>
        <v>1.6324946742890135E-2</v>
      </c>
      <c r="I54" s="391">
        <f t="shared" si="17"/>
        <v>1.6263239929258752E-2</v>
      </c>
      <c r="J54" s="391">
        <f t="shared" si="17"/>
        <v>1.7312985794067967E-2</v>
      </c>
      <c r="K54" s="391">
        <f t="shared" si="17"/>
        <v>1.6456013373444201E-2</v>
      </c>
      <c r="L54" s="391">
        <f t="shared" si="17"/>
        <v>1.7588367198027192E-2</v>
      </c>
      <c r="M54" s="391">
        <f t="shared" si="17"/>
        <v>1.7751545856245728E-2</v>
      </c>
      <c r="N54" s="391">
        <f t="shared" si="17"/>
        <v>2.3747843961628455E-2</v>
      </c>
      <c r="O54" s="392">
        <f t="shared" si="17"/>
        <v>0.22252307677172597</v>
      </c>
    </row>
    <row r="55" spans="2:15" ht="21" customHeight="1">
      <c r="B55" s="376" t="s">
        <v>240</v>
      </c>
      <c r="C55" s="393">
        <f t="shared" si="17"/>
        <v>1.7491359065716548E-2</v>
      </c>
      <c r="D55" s="393">
        <f t="shared" si="17"/>
        <v>1.5271500023171227E-2</v>
      </c>
      <c r="E55" s="393">
        <f t="shared" si="17"/>
        <v>1.6839188824666805E-2</v>
      </c>
      <c r="F55" s="393">
        <f t="shared" si="17"/>
        <v>2.7392656194949863E-2</v>
      </c>
      <c r="G55" s="393">
        <f t="shared" si="17"/>
        <v>1.627089207554016E-2</v>
      </c>
      <c r="H55" s="393">
        <f t="shared" si="17"/>
        <v>1.5598594120252737E-2</v>
      </c>
      <c r="I55" s="393">
        <f t="shared" si="17"/>
        <v>1.5796065515515358E-2</v>
      </c>
      <c r="J55" s="393">
        <f t="shared" si="17"/>
        <v>1.645403198959957E-2</v>
      </c>
      <c r="K55" s="393">
        <f t="shared" si="17"/>
        <v>1.5460801928634605E-2</v>
      </c>
      <c r="L55" s="393">
        <f t="shared" si="17"/>
        <v>1.6598924401861982E-2</v>
      </c>
      <c r="M55" s="393">
        <f t="shared" si="17"/>
        <v>1.7396275111345123E-2</v>
      </c>
      <c r="N55" s="393">
        <f t="shared" si="17"/>
        <v>2.1400872974958317E-2</v>
      </c>
      <c r="O55" s="394">
        <f t="shared" si="17"/>
        <v>0.21197116222621232</v>
      </c>
    </row>
    <row r="56" spans="2:15" ht="18.75">
      <c r="B56" s="371" t="s">
        <v>351</v>
      </c>
      <c r="C56" s="393">
        <f t="shared" si="17"/>
        <v>1.4924413362795298E-2</v>
      </c>
      <c r="D56" s="393">
        <f t="shared" si="17"/>
        <v>1.2318526310677794E-2</v>
      </c>
      <c r="E56" s="393">
        <f t="shared" si="17"/>
        <v>1.378594418693163E-2</v>
      </c>
      <c r="F56" s="393">
        <f t="shared" si="17"/>
        <v>2.4905999535096517E-2</v>
      </c>
      <c r="G56" s="393">
        <f t="shared" si="17"/>
        <v>1.3571457811118041E-2</v>
      </c>
      <c r="H56" s="393">
        <f t="shared" si="17"/>
        <v>1.3170309070597297E-2</v>
      </c>
      <c r="I56" s="393">
        <f t="shared" si="17"/>
        <v>1.3279923403330153E-2</v>
      </c>
      <c r="J56" s="393">
        <f t="shared" si="17"/>
        <v>1.3081569970685937E-2</v>
      </c>
      <c r="K56" s="393">
        <f t="shared" si="17"/>
        <v>1.2347746000991927E-2</v>
      </c>
      <c r="L56" s="393">
        <f t="shared" si="17"/>
        <v>1.3030461412517786E-2</v>
      </c>
      <c r="M56" s="393">
        <f t="shared" si="17"/>
        <v>1.3445761125391817E-2</v>
      </c>
      <c r="N56" s="393">
        <f t="shared" si="17"/>
        <v>1.4029179607548493E-2</v>
      </c>
      <c r="O56" s="394">
        <f t="shared" si="17"/>
        <v>0.1718912917976827</v>
      </c>
    </row>
    <row r="57" spans="2:15" ht="15.75">
      <c r="B57" s="371" t="s">
        <v>317</v>
      </c>
      <c r="C57" s="393">
        <f t="shared" si="17"/>
        <v>2.2490346715454421E-3</v>
      </c>
      <c r="D57" s="393">
        <f t="shared" si="17"/>
        <v>2.5398777333416164E-3</v>
      </c>
      <c r="E57" s="393">
        <f t="shared" si="17"/>
        <v>2.5598989783955457E-3</v>
      </c>
      <c r="F57" s="393">
        <f t="shared" si="17"/>
        <v>2.0371797717190785E-3</v>
      </c>
      <c r="G57" s="393">
        <f t="shared" si="17"/>
        <v>2.445458172490532E-3</v>
      </c>
      <c r="H57" s="393">
        <f t="shared" si="17"/>
        <v>2.3673181344897255E-3</v>
      </c>
      <c r="I57" s="393">
        <f t="shared" si="17"/>
        <v>2.1430325959954214E-3</v>
      </c>
      <c r="J57" s="393">
        <f t="shared" si="17"/>
        <v>2.3413330261913708E-3</v>
      </c>
      <c r="K57" s="393">
        <f t="shared" si="17"/>
        <v>2.1951305511102959E-3</v>
      </c>
      <c r="L57" s="393">
        <f t="shared" si="17"/>
        <v>2.0688891695729295E-3</v>
      </c>
      <c r="M57" s="393">
        <f t="shared" si="17"/>
        <v>2.2905507277243189E-3</v>
      </c>
      <c r="N57" s="393">
        <f t="shared" si="17"/>
        <v>6.5116286954403964E-3</v>
      </c>
      <c r="O57" s="394">
        <f t="shared" si="17"/>
        <v>3.1749332228016673E-2</v>
      </c>
    </row>
    <row r="58" spans="2:15" ht="15.75">
      <c r="B58" s="371" t="s">
        <v>318</v>
      </c>
      <c r="C58" s="393">
        <f t="shared" si="17"/>
        <v>3.1791103137580889E-4</v>
      </c>
      <c r="D58" s="393">
        <f t="shared" si="17"/>
        <v>4.1309597915181495E-4</v>
      </c>
      <c r="E58" s="393">
        <f t="shared" si="17"/>
        <v>4.9334565933962995E-4</v>
      </c>
      <c r="F58" s="393">
        <f t="shared" si="17"/>
        <v>4.4947688813426327E-4</v>
      </c>
      <c r="G58" s="393">
        <f t="shared" si="17"/>
        <v>2.5397609193158284E-4</v>
      </c>
      <c r="H58" s="393">
        <f t="shared" si="17"/>
        <v>6.096691516571371E-5</v>
      </c>
      <c r="I58" s="393">
        <f t="shared" si="17"/>
        <v>3.7310951618978324E-4</v>
      </c>
      <c r="J58" s="393">
        <f t="shared" si="17"/>
        <v>1.0311289927222638E-3</v>
      </c>
      <c r="K58" s="393">
        <f t="shared" si="17"/>
        <v>9.1792537653238187E-4</v>
      </c>
      <c r="L58" s="393">
        <f t="shared" si="17"/>
        <v>1.4995738197712662E-3</v>
      </c>
      <c r="M58" s="393">
        <f t="shared" si="17"/>
        <v>1.6599632582289887E-3</v>
      </c>
      <c r="N58" s="393">
        <f t="shared" si="17"/>
        <v>8.6006467196942564E-4</v>
      </c>
      <c r="O58" s="394">
        <f t="shared" si="17"/>
        <v>8.3305382005129242E-3</v>
      </c>
    </row>
    <row r="59" spans="2:15" ht="21" customHeight="1">
      <c r="B59" s="376" t="s">
        <v>244</v>
      </c>
      <c r="C59" s="393">
        <f t="shared" si="17"/>
        <v>0</v>
      </c>
      <c r="D59" s="393">
        <f t="shared" si="17"/>
        <v>0</v>
      </c>
      <c r="E59" s="393">
        <f t="shared" si="17"/>
        <v>0</v>
      </c>
      <c r="F59" s="393">
        <f t="shared" si="17"/>
        <v>5.412467991666248E-6</v>
      </c>
      <c r="G59" s="393">
        <f t="shared" si="17"/>
        <v>1.261922087500456E-6</v>
      </c>
      <c r="H59" s="393">
        <f t="shared" si="17"/>
        <v>0</v>
      </c>
      <c r="I59" s="393">
        <f t="shared" si="17"/>
        <v>0</v>
      </c>
      <c r="J59" s="393">
        <f t="shared" si="17"/>
        <v>0</v>
      </c>
      <c r="K59" s="393">
        <f t="shared" si="17"/>
        <v>0</v>
      </c>
      <c r="L59" s="393">
        <f t="shared" si="17"/>
        <v>0</v>
      </c>
      <c r="M59" s="393">
        <f t="shared" si="17"/>
        <v>2.0674795329075746E-7</v>
      </c>
      <c r="N59" s="393">
        <f t="shared" si="17"/>
        <v>1.1544386697154082E-6</v>
      </c>
      <c r="O59" s="394">
        <f t="shared" si="17"/>
        <v>8.0355767021728686E-6</v>
      </c>
    </row>
    <row r="60" spans="2:15" ht="21" customHeight="1">
      <c r="B60" s="376" t="s">
        <v>245</v>
      </c>
      <c r="C60" s="393">
        <f t="shared" si="17"/>
        <v>4.7911419074748394E-4</v>
      </c>
      <c r="D60" s="393">
        <f t="shared" si="17"/>
        <v>5.8953998465769201E-4</v>
      </c>
      <c r="E60" s="393">
        <f t="shared" si="17"/>
        <v>1.0117857001998641E-3</v>
      </c>
      <c r="F60" s="393">
        <f t="shared" si="17"/>
        <v>1.2199195613440887E-3</v>
      </c>
      <c r="G60" s="393">
        <f t="shared" si="17"/>
        <v>5.0550390509066857E-4</v>
      </c>
      <c r="H60" s="393">
        <f t="shared" si="17"/>
        <v>7.2635262263739801E-4</v>
      </c>
      <c r="I60" s="393">
        <f t="shared" si="17"/>
        <v>4.6717441374339501E-4</v>
      </c>
      <c r="J60" s="393">
        <f t="shared" si="17"/>
        <v>8.5895380446839779E-4</v>
      </c>
      <c r="K60" s="393">
        <f t="shared" si="17"/>
        <v>9.9521144480959668E-4</v>
      </c>
      <c r="L60" s="393">
        <f t="shared" si="17"/>
        <v>9.8944279616521198E-4</v>
      </c>
      <c r="M60" s="393">
        <f t="shared" si="17"/>
        <v>3.550639969473146E-4</v>
      </c>
      <c r="N60" s="393">
        <f t="shared" si="17"/>
        <v>2.3458165480004221E-3</v>
      </c>
      <c r="O60" s="394">
        <f t="shared" si="17"/>
        <v>1.0543878968811534E-2</v>
      </c>
    </row>
    <row r="61" spans="2:15" ht="24.95" customHeight="1">
      <c r="B61" s="390" t="s">
        <v>246</v>
      </c>
      <c r="C61" s="391">
        <f t="shared" si="17"/>
        <v>1.8420177364869863E-2</v>
      </c>
      <c r="D61" s="391">
        <f t="shared" si="17"/>
        <v>1.9725615261553812E-2</v>
      </c>
      <c r="E61" s="391">
        <f t="shared" si="17"/>
        <v>2.1653209364521801E-2</v>
      </c>
      <c r="F61" s="391">
        <f t="shared" si="17"/>
        <v>1.9049334384419473E-2</v>
      </c>
      <c r="G61" s="391">
        <f t="shared" si="17"/>
        <v>2.047584186971068E-2</v>
      </c>
      <c r="H61" s="391">
        <f t="shared" si="17"/>
        <v>2.2270658162280407E-2</v>
      </c>
      <c r="I61" s="391">
        <f t="shared" si="17"/>
        <v>2.5016989400397757E-2</v>
      </c>
      <c r="J61" s="391">
        <f t="shared" si="17"/>
        <v>1.7135203220504262E-2</v>
      </c>
      <c r="K61" s="391">
        <f t="shared" si="17"/>
        <v>1.607457804462482E-2</v>
      </c>
      <c r="L61" s="391">
        <f t="shared" si="17"/>
        <v>1.8474998734456797E-2</v>
      </c>
      <c r="M61" s="391">
        <f t="shared" si="17"/>
        <v>1.9041133371393303E-2</v>
      </c>
      <c r="N61" s="391">
        <f t="shared" si="17"/>
        <v>2.9885065612193586E-2</v>
      </c>
      <c r="O61" s="392">
        <f t="shared" si="17"/>
        <v>0.24722280479092654</v>
      </c>
    </row>
    <row r="62" spans="2:15" ht="21" customHeight="1">
      <c r="B62" s="376" t="s">
        <v>247</v>
      </c>
      <c r="C62" s="393">
        <f t="shared" si="17"/>
        <v>1.6439050618277263E-2</v>
      </c>
      <c r="D62" s="393">
        <f t="shared" si="17"/>
        <v>1.62879359941786E-2</v>
      </c>
      <c r="E62" s="393">
        <f t="shared" si="17"/>
        <v>1.8665601557007621E-2</v>
      </c>
      <c r="F62" s="393">
        <f t="shared" si="17"/>
        <v>1.6884427650566119E-2</v>
      </c>
      <c r="G62" s="393">
        <f t="shared" si="17"/>
        <v>1.7910481783474288E-2</v>
      </c>
      <c r="H62" s="393">
        <f t="shared" si="17"/>
        <v>1.9811642492671484E-2</v>
      </c>
      <c r="I62" s="393">
        <f t="shared" si="17"/>
        <v>2.1189479066525074E-2</v>
      </c>
      <c r="J62" s="393">
        <f t="shared" si="17"/>
        <v>1.4669427890166429E-2</v>
      </c>
      <c r="K62" s="393">
        <f t="shared" si="17"/>
        <v>1.3221965609960272E-2</v>
      </c>
      <c r="L62" s="393">
        <f t="shared" si="17"/>
        <v>1.6342102717047811E-2</v>
      </c>
      <c r="M62" s="393">
        <f t="shared" si="17"/>
        <v>1.6021987782158947E-2</v>
      </c>
      <c r="N62" s="393">
        <f t="shared" si="17"/>
        <v>2.6823035785736193E-2</v>
      </c>
      <c r="O62" s="394">
        <f t="shared" si="17"/>
        <v>0.21426713894777011</v>
      </c>
    </row>
    <row r="63" spans="2:15" ht="15.75">
      <c r="B63" s="371" t="s">
        <v>321</v>
      </c>
      <c r="C63" s="393">
        <f t="shared" si="17"/>
        <v>9.9986126801809138E-3</v>
      </c>
      <c r="D63" s="393">
        <f t="shared" si="17"/>
        <v>1.0508728501788127E-2</v>
      </c>
      <c r="E63" s="393">
        <f t="shared" si="17"/>
        <v>1.1810110682525644E-2</v>
      </c>
      <c r="F63" s="393">
        <f t="shared" si="17"/>
        <v>1.0687007007569596E-2</v>
      </c>
      <c r="G63" s="393">
        <f t="shared" si="17"/>
        <v>1.1327705238372732E-2</v>
      </c>
      <c r="H63" s="393">
        <f t="shared" si="17"/>
        <v>1.2573790569114831E-2</v>
      </c>
      <c r="I63" s="393">
        <f t="shared" si="17"/>
        <v>1.1860921538293157E-2</v>
      </c>
      <c r="J63" s="393">
        <f t="shared" si="17"/>
        <v>1.0225382085094593E-2</v>
      </c>
      <c r="K63" s="393">
        <f t="shared" si="17"/>
        <v>9.7336802341575386E-3</v>
      </c>
      <c r="L63" s="393">
        <f t="shared" si="17"/>
        <v>1.0991849249498862E-2</v>
      </c>
      <c r="M63" s="393">
        <f t="shared" si="17"/>
        <v>1.1083427649875912E-2</v>
      </c>
      <c r="N63" s="393">
        <f t="shared" si="17"/>
        <v>2.0199105883617355E-2</v>
      </c>
      <c r="O63" s="394">
        <f t="shared" si="17"/>
        <v>0.14100032132008927</v>
      </c>
    </row>
    <row r="64" spans="2:15" ht="15.75">
      <c r="B64" s="395" t="s">
        <v>322</v>
      </c>
      <c r="C64" s="393">
        <f t="shared" si="17"/>
        <v>7.1292962327041617E-3</v>
      </c>
      <c r="D64" s="393">
        <f t="shared" si="17"/>
        <v>7.193665501449926E-3</v>
      </c>
      <c r="E64" s="393">
        <f t="shared" si="17"/>
        <v>7.3362774845714164E-3</v>
      </c>
      <c r="F64" s="393">
        <f t="shared" si="17"/>
        <v>7.2219711319586391E-3</v>
      </c>
      <c r="G64" s="393">
        <f t="shared" si="17"/>
        <v>7.1818883714968324E-3</v>
      </c>
      <c r="H64" s="393">
        <f t="shared" si="17"/>
        <v>8.2514051146285374E-3</v>
      </c>
      <c r="I64" s="393">
        <f t="shared" si="17"/>
        <v>7.870869493112229E-3</v>
      </c>
      <c r="J64" s="393">
        <f t="shared" si="17"/>
        <v>7.1994025151623613E-3</v>
      </c>
      <c r="K64" s="393">
        <f t="shared" si="17"/>
        <v>7.2826132832736305E-3</v>
      </c>
      <c r="L64" s="393">
        <f t="shared" si="17"/>
        <v>7.3142937587569986E-3</v>
      </c>
      <c r="M64" s="393">
        <f t="shared" si="17"/>
        <v>7.4486238226306933E-3</v>
      </c>
      <c r="N64" s="393">
        <f t="shared" si="17"/>
        <v>1.3635980710695937E-2</v>
      </c>
      <c r="O64" s="394">
        <f t="shared" si="17"/>
        <v>9.5066287420441375E-2</v>
      </c>
    </row>
    <row r="65" spans="2:16" ht="15.75">
      <c r="B65" s="395" t="s">
        <v>323</v>
      </c>
      <c r="C65" s="393">
        <f t="shared" si="17"/>
        <v>2.8693164474767525E-3</v>
      </c>
      <c r="D65" s="393">
        <f t="shared" si="17"/>
        <v>3.3150630003382013E-3</v>
      </c>
      <c r="E65" s="393">
        <f t="shared" si="17"/>
        <v>4.4738331979542285E-3</v>
      </c>
      <c r="F65" s="393">
        <f t="shared" si="17"/>
        <v>3.4650358756109566E-3</v>
      </c>
      <c r="G65" s="393">
        <f t="shared" si="17"/>
        <v>4.1458168668758984E-3</v>
      </c>
      <c r="H65" s="393">
        <f t="shared" si="17"/>
        <v>4.3223854544862947E-3</v>
      </c>
      <c r="I65" s="393">
        <f t="shared" si="17"/>
        <v>3.9900520451809276E-3</v>
      </c>
      <c r="J65" s="393">
        <f t="shared" si="17"/>
        <v>3.025979569932231E-3</v>
      </c>
      <c r="K65" s="393">
        <f t="shared" si="17"/>
        <v>2.4510669508839081E-3</v>
      </c>
      <c r="L65" s="393">
        <f t="shared" si="17"/>
        <v>3.6775554907418637E-3</v>
      </c>
      <c r="M65" s="393">
        <f t="shared" si="17"/>
        <v>3.6348038272452179E-3</v>
      </c>
      <c r="N65" s="393">
        <f t="shared" si="17"/>
        <v>6.563125172921418E-3</v>
      </c>
      <c r="O65" s="394">
        <f t="shared" si="17"/>
        <v>4.5934033899647897E-2</v>
      </c>
    </row>
    <row r="66" spans="2:16" ht="15.75">
      <c r="B66" s="371" t="s">
        <v>352</v>
      </c>
      <c r="C66" s="393">
        <f t="shared" si="17"/>
        <v>3.6636136341451149E-3</v>
      </c>
      <c r="D66" s="393">
        <f t="shared" si="17"/>
        <v>1.046216736229638E-3</v>
      </c>
      <c r="E66" s="393">
        <f t="shared" si="17"/>
        <v>1.3233698906219651E-3</v>
      </c>
      <c r="F66" s="393">
        <f t="shared" si="17"/>
        <v>1.745195464553451E-3</v>
      </c>
      <c r="G66" s="393">
        <f t="shared" si="17"/>
        <v>1.1869448455859807E-3</v>
      </c>
      <c r="H66" s="393">
        <f t="shared" si="17"/>
        <v>3.3017488264021799E-3</v>
      </c>
      <c r="I66" s="393">
        <f t="shared" si="17"/>
        <v>4.7717181314330965E-3</v>
      </c>
      <c r="J66" s="393">
        <f t="shared" si="17"/>
        <v>1.366437523972356E-3</v>
      </c>
      <c r="K66" s="393">
        <f t="shared" si="17"/>
        <v>1.3021993686581101E-3</v>
      </c>
      <c r="L66" s="393">
        <f t="shared" si="17"/>
        <v>1.8343694878370797E-3</v>
      </c>
      <c r="M66" s="393">
        <f t="shared" si="17"/>
        <v>1.1807477659489505E-3</v>
      </c>
      <c r="N66" s="393">
        <f t="shared" si="17"/>
        <v>2.8099326427322721E-3</v>
      </c>
      <c r="O66" s="394">
        <f t="shared" si="17"/>
        <v>2.5532494318120193E-2</v>
      </c>
    </row>
    <row r="67" spans="2:16" ht="15.75">
      <c r="B67" s="371" t="s">
        <v>325</v>
      </c>
      <c r="C67" s="393">
        <f t="shared" si="17"/>
        <v>2.7768243039512359E-3</v>
      </c>
      <c r="D67" s="393">
        <f t="shared" si="17"/>
        <v>4.7329907561608339E-3</v>
      </c>
      <c r="E67" s="393">
        <f t="shared" si="17"/>
        <v>5.5321209838600106E-3</v>
      </c>
      <c r="F67" s="393">
        <f t="shared" si="17"/>
        <v>4.4522251784430717E-3</v>
      </c>
      <c r="G67" s="393">
        <f t="shared" si="17"/>
        <v>5.3958316995155742E-3</v>
      </c>
      <c r="H67" s="393">
        <f t="shared" si="17"/>
        <v>3.9361030971544753E-3</v>
      </c>
      <c r="I67" s="393">
        <f t="shared" si="17"/>
        <v>4.5568393967988221E-3</v>
      </c>
      <c r="J67" s="393">
        <f t="shared" si="17"/>
        <v>3.0776082810994795E-3</v>
      </c>
      <c r="K67" s="393">
        <f t="shared" si="17"/>
        <v>2.186086007144625E-3</v>
      </c>
      <c r="L67" s="393">
        <f t="shared" si="17"/>
        <v>3.5158839797118685E-3</v>
      </c>
      <c r="M67" s="393">
        <f t="shared" si="17"/>
        <v>3.757812366334086E-3</v>
      </c>
      <c r="N67" s="393">
        <f t="shared" si="17"/>
        <v>3.8139972593865643E-3</v>
      </c>
      <c r="O67" s="394">
        <f t="shared" si="17"/>
        <v>4.773432330956065E-2</v>
      </c>
    </row>
    <row r="68" spans="2:16" ht="21" customHeight="1">
      <c r="B68" s="376" t="s">
        <v>259</v>
      </c>
      <c r="C68" s="393">
        <f t="shared" si="17"/>
        <v>1.9811267465925974E-3</v>
      </c>
      <c r="D68" s="393">
        <f t="shared" si="17"/>
        <v>3.4376792673752135E-3</v>
      </c>
      <c r="E68" s="393">
        <f t="shared" si="17"/>
        <v>2.9876078075141816E-3</v>
      </c>
      <c r="F68" s="393">
        <f t="shared" si="17"/>
        <v>2.1649067338533547E-3</v>
      </c>
      <c r="G68" s="393">
        <f t="shared" si="17"/>
        <v>2.5688692063313644E-3</v>
      </c>
      <c r="H68" s="393">
        <f t="shared" si="17"/>
        <v>2.4699844288835716E-3</v>
      </c>
      <c r="I68" s="393">
        <f t="shared" si="17"/>
        <v>3.8275103338726801E-3</v>
      </c>
      <c r="J68" s="393">
        <f t="shared" si="17"/>
        <v>2.4657753303378369E-3</v>
      </c>
      <c r="K68" s="393">
        <f t="shared" si="17"/>
        <v>2.8526124346645453E-3</v>
      </c>
      <c r="L68" s="393">
        <f t="shared" si="17"/>
        <v>2.132896017408984E-3</v>
      </c>
      <c r="M68" s="393">
        <f t="shared" si="17"/>
        <v>3.0191455892343531E-3</v>
      </c>
      <c r="N68" s="393">
        <f t="shared" si="17"/>
        <v>3.062029826457396E-3</v>
      </c>
      <c r="O68" s="394">
        <f t="shared" si="17"/>
        <v>3.2970143722526074E-2</v>
      </c>
    </row>
    <row r="69" spans="2:16" ht="15.75">
      <c r="B69" s="371" t="s">
        <v>260</v>
      </c>
      <c r="C69" s="393">
        <f t="shared" si="17"/>
        <v>1.925203002596163E-3</v>
      </c>
      <c r="D69" s="393">
        <f t="shared" si="17"/>
        <v>2.2898728447064602E-3</v>
      </c>
      <c r="E69" s="393">
        <f t="shared" si="17"/>
        <v>2.9146094211187461E-3</v>
      </c>
      <c r="F69" s="393">
        <f t="shared" si="17"/>
        <v>2.1350264856944807E-3</v>
      </c>
      <c r="G69" s="393">
        <f t="shared" si="17"/>
        <v>2.5339883078992179E-3</v>
      </c>
      <c r="H69" s="393">
        <f t="shared" si="17"/>
        <v>2.4232551101865635E-3</v>
      </c>
      <c r="I69" s="393">
        <f t="shared" si="17"/>
        <v>3.3205465953584585E-3</v>
      </c>
      <c r="J69" s="393">
        <f t="shared" si="17"/>
        <v>2.2201410417584892E-3</v>
      </c>
      <c r="K69" s="393">
        <f t="shared" si="17"/>
        <v>2.7244945355352902E-3</v>
      </c>
      <c r="L69" s="393">
        <f t="shared" si="17"/>
        <v>2.0989550626165339E-3</v>
      </c>
      <c r="M69" s="393">
        <f t="shared" si="17"/>
        <v>2.9457614488029348E-3</v>
      </c>
      <c r="N69" s="393">
        <f t="shared" si="17"/>
        <v>2.9908879579299322E-3</v>
      </c>
      <c r="O69" s="394">
        <f t="shared" si="17"/>
        <v>3.0522741814203273E-2</v>
      </c>
    </row>
    <row r="70" spans="2:16" ht="15.75">
      <c r="B70" s="371" t="s">
        <v>326</v>
      </c>
      <c r="C70" s="393">
        <f t="shared" ref="C70:O73" si="18">C23/$O$89</f>
        <v>5.5923743996434589E-5</v>
      </c>
      <c r="D70" s="393">
        <f t="shared" si="18"/>
        <v>1.1478064226687532E-3</v>
      </c>
      <c r="E70" s="393">
        <f t="shared" si="18"/>
        <v>7.2998386395435174E-5</v>
      </c>
      <c r="F70" s="393">
        <f t="shared" si="18"/>
        <v>2.9880248158873742E-5</v>
      </c>
      <c r="G70" s="393">
        <f t="shared" si="18"/>
        <v>3.4880898432146277E-5</v>
      </c>
      <c r="H70" s="393">
        <f t="shared" si="18"/>
        <v>4.6729318697008155E-5</v>
      </c>
      <c r="I70" s="393">
        <f t="shared" si="18"/>
        <v>5.0696373851422181E-4</v>
      </c>
      <c r="J70" s="393">
        <f t="shared" si="18"/>
        <v>2.4563428857934765E-4</v>
      </c>
      <c r="K70" s="393">
        <f t="shared" si="18"/>
        <v>1.2811789912925498E-4</v>
      </c>
      <c r="L70" s="393">
        <f t="shared" si="18"/>
        <v>3.3940954792449927E-5</v>
      </c>
      <c r="M70" s="393">
        <f t="shared" si="18"/>
        <v>7.338414043141861E-5</v>
      </c>
      <c r="N70" s="393">
        <f t="shared" si="18"/>
        <v>7.1141868527463818E-5</v>
      </c>
      <c r="O70" s="394">
        <f t="shared" si="18"/>
        <v>2.4474019083228081E-3</v>
      </c>
    </row>
    <row r="71" spans="2:16" ht="21" customHeight="1">
      <c r="B71" s="376" t="s">
        <v>327</v>
      </c>
      <c r="C71" s="393">
        <f t="shared" si="18"/>
        <v>0</v>
      </c>
      <c r="D71" s="393">
        <f t="shared" si="18"/>
        <v>0</v>
      </c>
      <c r="E71" s="393">
        <f t="shared" si="18"/>
        <v>0</v>
      </c>
      <c r="F71" s="393">
        <f t="shared" si="18"/>
        <v>0</v>
      </c>
      <c r="G71" s="393">
        <f t="shared" si="18"/>
        <v>-3.5091200949724364E-6</v>
      </c>
      <c r="H71" s="393">
        <f t="shared" si="18"/>
        <v>-1.0968759274651963E-5</v>
      </c>
      <c r="I71" s="393">
        <f t="shared" si="18"/>
        <v>0</v>
      </c>
      <c r="J71" s="393">
        <f t="shared" si="18"/>
        <v>0</v>
      </c>
      <c r="K71" s="393">
        <f t="shared" si="18"/>
        <v>0</v>
      </c>
      <c r="L71" s="393">
        <f t="shared" si="18"/>
        <v>0</v>
      </c>
      <c r="M71" s="393">
        <f t="shared" si="18"/>
        <v>0</v>
      </c>
      <c r="N71" s="393">
        <f t="shared" si="18"/>
        <v>0</v>
      </c>
      <c r="O71" s="394">
        <f t="shared" si="18"/>
        <v>-1.4477879369624399E-5</v>
      </c>
    </row>
    <row r="72" spans="2:16" ht="24.95" customHeight="1">
      <c r="B72" s="390" t="s">
        <v>269</v>
      </c>
      <c r="C72" s="391">
        <f t="shared" si="18"/>
        <v>1.0523084474392847E-3</v>
      </c>
      <c r="D72" s="391">
        <f t="shared" si="18"/>
        <v>-1.0164359710073728E-3</v>
      </c>
      <c r="E72" s="391">
        <f t="shared" si="18"/>
        <v>-1.8264127323408151E-3</v>
      </c>
      <c r="F72" s="391">
        <f t="shared" si="18"/>
        <v>1.0508228544383744E-2</v>
      </c>
      <c r="G72" s="391">
        <f t="shared" si="18"/>
        <v>-1.6395897079341296E-3</v>
      </c>
      <c r="H72" s="391">
        <f t="shared" si="18"/>
        <v>-4.2130483724187491E-3</v>
      </c>
      <c r="I72" s="391">
        <f t="shared" si="18"/>
        <v>-5.3934135510097184E-3</v>
      </c>
      <c r="J72" s="391">
        <f t="shared" si="18"/>
        <v>1.7846040994331427E-3</v>
      </c>
      <c r="K72" s="391">
        <f t="shared" si="18"/>
        <v>2.2388363186743323E-3</v>
      </c>
      <c r="L72" s="391">
        <f t="shared" si="18"/>
        <v>2.5682168481416904E-4</v>
      </c>
      <c r="M72" s="391">
        <f t="shared" si="18"/>
        <v>1.3742873291861758E-3</v>
      </c>
      <c r="N72" s="391">
        <f t="shared" si="18"/>
        <v>-5.4221628107778757E-3</v>
      </c>
      <c r="O72" s="392">
        <f t="shared" si="18"/>
        <v>-2.2959767215578108E-3</v>
      </c>
    </row>
    <row r="73" spans="2:16" ht="39.950000000000003" customHeight="1">
      <c r="B73" s="396" t="s">
        <v>354</v>
      </c>
      <c r="C73" s="391">
        <f t="shared" si="18"/>
        <v>3.2139095257392868E-3</v>
      </c>
      <c r="D73" s="391">
        <f t="shared" si="18"/>
        <v>-2.818358517495255E-3</v>
      </c>
      <c r="E73" s="391">
        <f t="shared" si="18"/>
        <v>-2.4788649490331653E-3</v>
      </c>
      <c r="F73" s="391">
        <f t="shared" si="18"/>
        <v>1.13138493044196E-2</v>
      </c>
      <c r="G73" s="391">
        <f t="shared" si="18"/>
        <v>-2.5112391214063721E-3</v>
      </c>
      <c r="H73" s="391">
        <f t="shared" si="18"/>
        <v>-2.6439625929880898E-3</v>
      </c>
      <c r="I73" s="391">
        <f t="shared" si="18"/>
        <v>-3.9820313397059071E-3</v>
      </c>
      <c r="J73" s="391">
        <f t="shared" si="18"/>
        <v>1.5442200975360604E-3</v>
      </c>
      <c r="K73" s="391">
        <f t="shared" si="18"/>
        <v>1.6836346974774918E-3</v>
      </c>
      <c r="L73" s="391">
        <f t="shared" si="18"/>
        <v>9.4773795140747595E-4</v>
      </c>
      <c r="M73" s="391">
        <f t="shared" si="18"/>
        <v>-1.0883974919862297E-4</v>
      </c>
      <c r="N73" s="391">
        <f t="shared" si="18"/>
        <v>-3.3272890078328609E-3</v>
      </c>
      <c r="O73" s="392">
        <f t="shared" si="18"/>
        <v>8.3276629891964129E-4</v>
      </c>
    </row>
    <row r="74" spans="2:16" ht="24.95" customHeight="1">
      <c r="B74" s="397" t="s">
        <v>328</v>
      </c>
      <c r="C74" s="359"/>
      <c r="D74" s="359"/>
      <c r="E74" s="359"/>
      <c r="F74" s="359"/>
      <c r="G74" s="359"/>
      <c r="H74" s="359"/>
      <c r="I74" s="359"/>
      <c r="J74" s="359"/>
      <c r="K74" s="359"/>
      <c r="L74" s="359"/>
      <c r="M74" s="359"/>
      <c r="N74" s="359"/>
      <c r="O74" s="398"/>
    </row>
    <row r="75" spans="2:16" ht="21" customHeight="1">
      <c r="B75" s="399" t="s">
        <v>329</v>
      </c>
      <c r="C75" s="391">
        <f t="shared" ref="C75:O88" si="19">C28/$O$89</f>
        <v>-4.4970410840582803E-4</v>
      </c>
      <c r="D75" s="391">
        <f t="shared" si="19"/>
        <v>-3.864575253724893E-3</v>
      </c>
      <c r="E75" s="391">
        <f t="shared" si="19"/>
        <v>-3.8022348396551304E-3</v>
      </c>
      <c r="F75" s="391">
        <f t="shared" si="19"/>
        <v>9.5686538398661487E-3</v>
      </c>
      <c r="G75" s="391">
        <f t="shared" si="19"/>
        <v>-3.6981839669923528E-3</v>
      </c>
      <c r="H75" s="391">
        <f t="shared" si="19"/>
        <v>-5.9457114193902693E-3</v>
      </c>
      <c r="I75" s="391">
        <f t="shared" si="19"/>
        <v>-8.7537494711390045E-3</v>
      </c>
      <c r="J75" s="391">
        <f t="shared" si="19"/>
        <v>1.7778257356370429E-4</v>
      </c>
      <c r="K75" s="391">
        <f t="shared" si="19"/>
        <v>3.8143532881938162E-4</v>
      </c>
      <c r="L75" s="391">
        <f t="shared" si="19"/>
        <v>-8.8663153642960378E-4</v>
      </c>
      <c r="M75" s="391">
        <f t="shared" si="19"/>
        <v>-1.2895875151475735E-3</v>
      </c>
      <c r="N75" s="391">
        <f t="shared" si="19"/>
        <v>-6.137221650565133E-3</v>
      </c>
      <c r="O75" s="392">
        <f t="shared" si="19"/>
        <v>-2.4699728019200555E-2</v>
      </c>
    </row>
    <row r="76" spans="2:16" ht="21" customHeight="1">
      <c r="B76" s="399" t="s">
        <v>330</v>
      </c>
      <c r="C76" s="391">
        <f t="shared" si="19"/>
        <v>-9.2881829915331202E-4</v>
      </c>
      <c r="D76" s="391">
        <f t="shared" si="19"/>
        <v>-4.4541152383825852E-3</v>
      </c>
      <c r="E76" s="391">
        <f t="shared" si="19"/>
        <v>-4.8140205398549945E-3</v>
      </c>
      <c r="F76" s="391">
        <f t="shared" si="19"/>
        <v>8.3487342785220613E-3</v>
      </c>
      <c r="G76" s="391">
        <f t="shared" si="19"/>
        <v>-4.2036878720830215E-3</v>
      </c>
      <c r="H76" s="391">
        <f t="shared" si="19"/>
        <v>-6.6720640420276671E-3</v>
      </c>
      <c r="I76" s="391">
        <f t="shared" si="19"/>
        <v>-9.2209238848823989E-3</v>
      </c>
      <c r="J76" s="391">
        <f t="shared" si="19"/>
        <v>-6.8117123090469353E-4</v>
      </c>
      <c r="K76" s="391">
        <f t="shared" si="19"/>
        <v>-6.1377611599021506E-4</v>
      </c>
      <c r="L76" s="391">
        <f t="shared" si="19"/>
        <v>-1.876074332594816E-3</v>
      </c>
      <c r="M76" s="391">
        <f t="shared" si="19"/>
        <v>-1.644651512094888E-3</v>
      </c>
      <c r="N76" s="391">
        <f t="shared" si="19"/>
        <v>-8.4830381985655547E-3</v>
      </c>
      <c r="O76" s="392">
        <f t="shared" si="19"/>
        <v>-3.5243606988012079E-2</v>
      </c>
    </row>
    <row r="77" spans="2:16" ht="21" customHeight="1">
      <c r="B77" s="399" t="s">
        <v>355</v>
      </c>
      <c r="C77" s="391">
        <f t="shared" si="19"/>
        <v>-2.0917581353179717E-3</v>
      </c>
      <c r="D77" s="391">
        <f t="shared" si="19"/>
        <v>-5.3971038263085037E-3</v>
      </c>
      <c r="E77" s="391">
        <f t="shared" si="19"/>
        <v>-5.4145428764214533E-3</v>
      </c>
      <c r="F77" s="391">
        <f t="shared" si="19"/>
        <v>8.0028410653241264E-3</v>
      </c>
      <c r="G77" s="391">
        <f t="shared" si="19"/>
        <v>-5.2437985048151845E-3</v>
      </c>
      <c r="H77" s="391">
        <f t="shared" si="19"/>
        <v>-7.4923017028581439E-3</v>
      </c>
      <c r="I77" s="391">
        <f t="shared" si="19"/>
        <v>-1.0329718067722085E-2</v>
      </c>
      <c r="J77" s="391">
        <f t="shared" si="19"/>
        <v>-1.3855878662655584E-3</v>
      </c>
      <c r="K77" s="391">
        <f t="shared" si="19"/>
        <v>-1.2018328460474332E-3</v>
      </c>
      <c r="L77" s="391">
        <f t="shared" si="19"/>
        <v>-2.4653051909456752E-3</v>
      </c>
      <c r="M77" s="391">
        <f t="shared" si="19"/>
        <v>-2.8915475038676251E-3</v>
      </c>
      <c r="N77" s="391">
        <f t="shared" si="19"/>
        <v>-8.7847976871815829E-3</v>
      </c>
      <c r="O77" s="392">
        <f t="shared" si="19"/>
        <v>-4.4695453142427094E-2</v>
      </c>
    </row>
    <row r="78" spans="2:16" ht="24.95" customHeight="1">
      <c r="B78" s="390" t="s">
        <v>332</v>
      </c>
      <c r="C78" s="391">
        <f t="shared" si="19"/>
        <v>4.8656019735966499E-5</v>
      </c>
      <c r="D78" s="391">
        <f t="shared" si="19"/>
        <v>3.1610352717787317E-2</v>
      </c>
      <c r="E78" s="391">
        <f t="shared" si="19"/>
        <v>-8.6545944493580582E-4</v>
      </c>
      <c r="F78" s="391">
        <f t="shared" si="19"/>
        <v>-8.4250567744276466E-4</v>
      </c>
      <c r="G78" s="391">
        <f t="shared" si="19"/>
        <v>-1.4604062827540036E-3</v>
      </c>
      <c r="H78" s="391">
        <f t="shared" si="19"/>
        <v>-1.0021642292511554E-3</v>
      </c>
      <c r="I78" s="391">
        <f t="shared" si="19"/>
        <v>-2.7864349190338294E-2</v>
      </c>
      <c r="J78" s="391">
        <f t="shared" si="19"/>
        <v>-9.2831728454952664E-4</v>
      </c>
      <c r="K78" s="391">
        <f t="shared" si="19"/>
        <v>3.6657119530974988E-3</v>
      </c>
      <c r="L78" s="391">
        <f t="shared" si="19"/>
        <v>1.885568093816833E-3</v>
      </c>
      <c r="M78" s="391">
        <f t="shared" si="19"/>
        <v>3.2196646902106023E-3</v>
      </c>
      <c r="N78" s="391">
        <f t="shared" si="19"/>
        <v>-1.4940089569103986E-3</v>
      </c>
      <c r="O78" s="392">
        <f t="shared" si="19"/>
        <v>5.9727424084662726E-3</v>
      </c>
    </row>
    <row r="79" spans="2:16" ht="15.75">
      <c r="B79" s="376" t="s">
        <v>276</v>
      </c>
      <c r="C79" s="393">
        <f t="shared" si="19"/>
        <v>9.3893248694276916E-4</v>
      </c>
      <c r="D79" s="393">
        <f t="shared" si="19"/>
        <v>3.2474223246357438E-2</v>
      </c>
      <c r="E79" s="393">
        <f t="shared" si="19"/>
        <v>2.1199204487526487E-4</v>
      </c>
      <c r="F79" s="393">
        <f t="shared" si="19"/>
        <v>1.5607840057425197E-4</v>
      </c>
      <c r="G79" s="393">
        <f t="shared" si="19"/>
        <v>4.4370427997148461E-5</v>
      </c>
      <c r="H79" s="393">
        <f t="shared" si="19"/>
        <v>1.3787178721125944E-4</v>
      </c>
      <c r="I79" s="393">
        <f t="shared" si="19"/>
        <v>5.1525285720906066E-3</v>
      </c>
      <c r="J79" s="393">
        <f t="shared" si="19"/>
        <v>4.4794568862411249E-5</v>
      </c>
      <c r="K79" s="393">
        <f t="shared" si="19"/>
        <v>5.0051453920324515E-3</v>
      </c>
      <c r="L79" s="393">
        <f t="shared" si="19"/>
        <v>2.9224790152525813E-3</v>
      </c>
      <c r="M79" s="393">
        <f t="shared" si="19"/>
        <v>4.9694879356806275E-3</v>
      </c>
      <c r="N79" s="393">
        <f t="shared" si="19"/>
        <v>5.4331239049131876E-4</v>
      </c>
      <c r="O79" s="394">
        <f t="shared" si="19"/>
        <v>5.2601216268368119E-2</v>
      </c>
      <c r="P79" s="55"/>
    </row>
    <row r="80" spans="2:16" ht="15.75">
      <c r="B80" s="376" t="s">
        <v>277</v>
      </c>
      <c r="C80" s="393">
        <f t="shared" si="19"/>
        <v>-8.9027646720680272E-4</v>
      </c>
      <c r="D80" s="393">
        <f t="shared" si="19"/>
        <v>-8.6387052857011864E-4</v>
      </c>
      <c r="E80" s="393">
        <f t="shared" si="19"/>
        <v>-1.0774514898110707E-3</v>
      </c>
      <c r="F80" s="393">
        <f t="shared" si="19"/>
        <v>-9.9858407801701674E-4</v>
      </c>
      <c r="G80" s="393">
        <f t="shared" si="19"/>
        <v>-1.5047767107511519E-3</v>
      </c>
      <c r="H80" s="393">
        <f t="shared" si="19"/>
        <v>-1.1400360164624149E-3</v>
      </c>
      <c r="I80" s="393">
        <f t="shared" si="19"/>
        <v>-3.3016877762428898E-2</v>
      </c>
      <c r="J80" s="393">
        <f t="shared" si="19"/>
        <v>-9.7311185341193793E-4</v>
      </c>
      <c r="K80" s="393">
        <f t="shared" si="19"/>
        <v>-1.3394334389349521E-3</v>
      </c>
      <c r="L80" s="393">
        <f t="shared" si="19"/>
        <v>-1.0369109214357483E-3</v>
      </c>
      <c r="M80" s="393">
        <f t="shared" si="19"/>
        <v>-1.7498232454700258E-3</v>
      </c>
      <c r="N80" s="393">
        <f t="shared" si="19"/>
        <v>-2.0373213474017171E-3</v>
      </c>
      <c r="O80" s="394">
        <f t="shared" si="19"/>
        <v>-4.6628473859901855E-2</v>
      </c>
      <c r="P80" s="55"/>
    </row>
    <row r="81" spans="2:15" ht="24.95" customHeight="1">
      <c r="B81" s="390" t="s">
        <v>333</v>
      </c>
      <c r="C81" s="391">
        <f t="shared" si="19"/>
        <v>4.0104808866986153E-4</v>
      </c>
      <c r="D81" s="391">
        <f t="shared" si="19"/>
        <v>-2.7745777464062427E-2</v>
      </c>
      <c r="E81" s="391">
        <f t="shared" si="19"/>
        <v>4.6676942845909359E-3</v>
      </c>
      <c r="F81" s="391">
        <f t="shared" si="19"/>
        <v>-8.7261481624233833E-3</v>
      </c>
      <c r="G81" s="391">
        <f t="shared" si="19"/>
        <v>5.1585902497463558E-3</v>
      </c>
      <c r="H81" s="391">
        <f t="shared" si="19"/>
        <v>6.9478756486414262E-3</v>
      </c>
      <c r="I81" s="391">
        <f t="shared" si="19"/>
        <v>3.6618098661477298E-2</v>
      </c>
      <c r="J81" s="391">
        <f t="shared" si="19"/>
        <v>7.5053471098582216E-4</v>
      </c>
      <c r="K81" s="391">
        <f t="shared" si="19"/>
        <v>-4.0471472819168805E-3</v>
      </c>
      <c r="L81" s="391">
        <f t="shared" si="19"/>
        <v>-9.9893655738722944E-4</v>
      </c>
      <c r="M81" s="391">
        <f t="shared" si="19"/>
        <v>-1.9300771750630286E-3</v>
      </c>
      <c r="N81" s="391">
        <f t="shared" si="19"/>
        <v>7.6312306074755309E-3</v>
      </c>
      <c r="O81" s="392">
        <f t="shared" si="19"/>
        <v>1.8726985610734281E-2</v>
      </c>
    </row>
    <row r="82" spans="2:15" ht="15.75">
      <c r="B82" s="376" t="s">
        <v>279</v>
      </c>
      <c r="C82" s="393">
        <f t="shared" si="19"/>
        <v>1.4395738861297056E-3</v>
      </c>
      <c r="D82" s="393">
        <f t="shared" si="19"/>
        <v>-3.0466609280913125E-2</v>
      </c>
      <c r="E82" s="393">
        <f t="shared" si="19"/>
        <v>2.5119085298696791E-3</v>
      </c>
      <c r="F82" s="393">
        <f t="shared" si="19"/>
        <v>-1.0613406376917911E-3</v>
      </c>
      <c r="G82" s="393">
        <f t="shared" si="19"/>
        <v>-2.0329966219314152E-3</v>
      </c>
      <c r="H82" s="393">
        <f t="shared" si="19"/>
        <v>5.4469630414054979E-3</v>
      </c>
      <c r="I82" s="393">
        <f t="shared" si="19"/>
        <v>3.1851163836326371E-2</v>
      </c>
      <c r="J82" s="393">
        <f t="shared" si="19"/>
        <v>1.4415623488324167E-3</v>
      </c>
      <c r="K82" s="393">
        <f t="shared" si="19"/>
        <v>-2.0632249018674035E-3</v>
      </c>
      <c r="L82" s="393">
        <f t="shared" si="19"/>
        <v>-1.3637004542545815E-3</v>
      </c>
      <c r="M82" s="393">
        <f t="shared" si="19"/>
        <v>8.9233860749820775E-5</v>
      </c>
      <c r="N82" s="393">
        <f t="shared" si="19"/>
        <v>4.0760413492948559E-3</v>
      </c>
      <c r="O82" s="394">
        <f t="shared" si="19"/>
        <v>9.8685749559500307E-3</v>
      </c>
    </row>
    <row r="83" spans="2:15" ht="15.75">
      <c r="B83" s="376" t="s">
        <v>282</v>
      </c>
      <c r="C83" s="393">
        <f t="shared" si="19"/>
        <v>-2.2168944841641945E-3</v>
      </c>
      <c r="D83" s="393">
        <f t="shared" si="19"/>
        <v>6.3940071870233271E-4</v>
      </c>
      <c r="E83" s="393">
        <f t="shared" si="19"/>
        <v>3.0074193611841584E-3</v>
      </c>
      <c r="F83" s="393">
        <f t="shared" si="19"/>
        <v>-9.5392473735171658E-3</v>
      </c>
      <c r="G83" s="393">
        <f t="shared" si="19"/>
        <v>7.3682999233870622E-3</v>
      </c>
      <c r="H83" s="393">
        <f t="shared" si="19"/>
        <v>5.2256588604293686E-3</v>
      </c>
      <c r="I83" s="393">
        <f t="shared" si="19"/>
        <v>2.6212302706891911E-3</v>
      </c>
      <c r="J83" s="393">
        <f t="shared" si="19"/>
        <v>9.7635318860685779E-4</v>
      </c>
      <c r="K83" s="393">
        <f t="shared" si="19"/>
        <v>-1.3444273434241548E-3</v>
      </c>
      <c r="L83" s="393">
        <f t="shared" si="19"/>
        <v>1.5558393849667075E-4</v>
      </c>
      <c r="M83" s="393">
        <f t="shared" si="19"/>
        <v>-2.5342001185183435E-3</v>
      </c>
      <c r="N83" s="393">
        <f t="shared" si="19"/>
        <v>3.6996972097902855E-3</v>
      </c>
      <c r="O83" s="394">
        <f t="shared" si="19"/>
        <v>8.0588741516620689E-3</v>
      </c>
    </row>
    <row r="84" spans="2:15" ht="15.75">
      <c r="B84" s="376" t="s">
        <v>283</v>
      </c>
      <c r="C84" s="393">
        <f t="shared" si="19"/>
        <v>0</v>
      </c>
      <c r="D84" s="393">
        <f t="shared" si="19"/>
        <v>0</v>
      </c>
      <c r="E84" s="393">
        <f t="shared" si="19"/>
        <v>0</v>
      </c>
      <c r="F84" s="393">
        <f t="shared" si="19"/>
        <v>0</v>
      </c>
      <c r="G84" s="393">
        <f t="shared" si="19"/>
        <v>0</v>
      </c>
      <c r="H84" s="393">
        <f t="shared" si="19"/>
        <v>0</v>
      </c>
      <c r="I84" s="393">
        <f t="shared" si="19"/>
        <v>0</v>
      </c>
      <c r="J84" s="393">
        <f t="shared" si="19"/>
        <v>0</v>
      </c>
      <c r="K84" s="393">
        <f t="shared" si="19"/>
        <v>0</v>
      </c>
      <c r="L84" s="393">
        <f t="shared" si="19"/>
        <v>0</v>
      </c>
      <c r="M84" s="393">
        <f t="shared" si="19"/>
        <v>0</v>
      </c>
      <c r="N84" s="393">
        <f t="shared" si="19"/>
        <v>0</v>
      </c>
      <c r="O84" s="394">
        <f t="shared" si="19"/>
        <v>0</v>
      </c>
    </row>
    <row r="85" spans="2:15" ht="15.75">
      <c r="B85" s="376" t="s">
        <v>284</v>
      </c>
      <c r="C85" s="393">
        <f t="shared" si="19"/>
        <v>1.4033581250634743E-3</v>
      </c>
      <c r="D85" s="393">
        <f t="shared" si="19"/>
        <v>1.4454110821552986E-3</v>
      </c>
      <c r="E85" s="393">
        <f t="shared" si="19"/>
        <v>1.5421001302518566E-3</v>
      </c>
      <c r="F85" s="393">
        <f t="shared" si="19"/>
        <v>3.2620389478686916E-3</v>
      </c>
      <c r="G85" s="393">
        <f t="shared" si="19"/>
        <v>1.4699589967944828E-3</v>
      </c>
      <c r="H85" s="393">
        <f t="shared" si="19"/>
        <v>9.4436880453248871E-4</v>
      </c>
      <c r="I85" s="393">
        <f t="shared" si="19"/>
        <v>1.9781195630203044E-3</v>
      </c>
      <c r="J85" s="393">
        <f t="shared" si="19"/>
        <v>8.0998592816526312E-4</v>
      </c>
      <c r="K85" s="393">
        <f t="shared" si="19"/>
        <v>2.4736607116622247E-3</v>
      </c>
      <c r="L85" s="393">
        <f t="shared" si="19"/>
        <v>9.3337303697831454E-4</v>
      </c>
      <c r="M85" s="393">
        <f t="shared" si="19"/>
        <v>1.5947497626182105E-3</v>
      </c>
      <c r="N85" s="393">
        <f t="shared" si="19"/>
        <v>3.2798610475956655E-3</v>
      </c>
      <c r="O85" s="394">
        <f t="shared" si="19"/>
        <v>2.1136986136706275E-2</v>
      </c>
    </row>
    <row r="86" spans="2:15" ht="15.75">
      <c r="B86" s="376" t="s">
        <v>334</v>
      </c>
      <c r="C86" s="393">
        <f t="shared" si="19"/>
        <v>0</v>
      </c>
      <c r="D86" s="393">
        <f t="shared" si="19"/>
        <v>0</v>
      </c>
      <c r="E86" s="393">
        <f t="shared" si="19"/>
        <v>0</v>
      </c>
      <c r="F86" s="393">
        <f t="shared" si="19"/>
        <v>0</v>
      </c>
      <c r="G86" s="393">
        <f t="shared" si="19"/>
        <v>0</v>
      </c>
      <c r="H86" s="393">
        <f t="shared" si="19"/>
        <v>0</v>
      </c>
      <c r="I86" s="393">
        <f t="shared" si="19"/>
        <v>0</v>
      </c>
      <c r="J86" s="393">
        <f t="shared" si="19"/>
        <v>0</v>
      </c>
      <c r="K86" s="393">
        <f t="shared" si="19"/>
        <v>0</v>
      </c>
      <c r="L86" s="393">
        <f t="shared" si="19"/>
        <v>0</v>
      </c>
      <c r="M86" s="393">
        <f t="shared" si="19"/>
        <v>0</v>
      </c>
      <c r="N86" s="393">
        <f t="shared" si="19"/>
        <v>0</v>
      </c>
      <c r="O86" s="394">
        <f t="shared" si="19"/>
        <v>0</v>
      </c>
    </row>
    <row r="87" spans="2:15" ht="15.75">
      <c r="B87" s="376" t="s">
        <v>335</v>
      </c>
      <c r="C87" s="393">
        <f t="shared" si="19"/>
        <v>-1.6420540269121435E-3</v>
      </c>
      <c r="D87" s="393">
        <f t="shared" si="19"/>
        <v>-1.5325285725836114E-3</v>
      </c>
      <c r="E87" s="393">
        <f t="shared" si="19"/>
        <v>-1.6123080367663229E-3</v>
      </c>
      <c r="F87" s="393">
        <f t="shared" si="19"/>
        <v>-1.5658127745420234E-3</v>
      </c>
      <c r="G87" s="393">
        <f t="shared" si="19"/>
        <v>-1.5456145378228317E-3</v>
      </c>
      <c r="H87" s="393">
        <f t="shared" si="19"/>
        <v>-1.5465902834678744E-3</v>
      </c>
      <c r="I87" s="393">
        <f t="shared" si="19"/>
        <v>-1.5759685965830825E-3</v>
      </c>
      <c r="J87" s="393">
        <f t="shared" si="19"/>
        <v>-1.5633704398292628E-3</v>
      </c>
      <c r="K87" s="393">
        <f t="shared" si="19"/>
        <v>-1.5832681748668149E-3</v>
      </c>
      <c r="L87" s="393">
        <f t="shared" si="19"/>
        <v>-1.5786736545160714E-3</v>
      </c>
      <c r="M87" s="393">
        <f t="shared" si="19"/>
        <v>-1.6019599887200514E-3</v>
      </c>
      <c r="N87" s="393">
        <f t="shared" si="19"/>
        <v>-2.6475760366164495E-3</v>
      </c>
      <c r="O87" s="394">
        <f t="shared" si="19"/>
        <v>-1.9995725123226539E-2</v>
      </c>
    </row>
    <row r="88" spans="2:15" ht="15.75">
      <c r="B88" s="400" t="s">
        <v>336</v>
      </c>
      <c r="C88" s="401">
        <f t="shared" si="19"/>
        <v>1.4170645885530199E-3</v>
      </c>
      <c r="D88" s="401">
        <f t="shared" si="19"/>
        <v>2.1685485885766776E-3</v>
      </c>
      <c r="E88" s="401">
        <f t="shared" si="19"/>
        <v>-7.8142569994843535E-4</v>
      </c>
      <c r="F88" s="401">
        <f t="shared" si="19"/>
        <v>1.7821367545890385E-4</v>
      </c>
      <c r="G88" s="401">
        <f t="shared" si="19"/>
        <v>-1.0105751068094151E-4</v>
      </c>
      <c r="H88" s="401">
        <f t="shared" si="19"/>
        <v>-3.1225247742580555E-3</v>
      </c>
      <c r="I88" s="401">
        <f t="shared" si="19"/>
        <v>1.7435535880245166E-3</v>
      </c>
      <c r="J88" s="401">
        <f t="shared" si="19"/>
        <v>-9.1399631478945257E-4</v>
      </c>
      <c r="K88" s="401">
        <f t="shared" si="19"/>
        <v>-1.5298875734207321E-3</v>
      </c>
      <c r="L88" s="401">
        <f t="shared" si="19"/>
        <v>8.5448057590843814E-4</v>
      </c>
      <c r="M88" s="401">
        <f t="shared" si="19"/>
        <v>5.2209930880733467E-4</v>
      </c>
      <c r="N88" s="401">
        <f t="shared" si="19"/>
        <v>-7.7679296258882711E-4</v>
      </c>
      <c r="O88" s="402">
        <f t="shared" si="19"/>
        <v>-3.4172451035755348E-4</v>
      </c>
    </row>
    <row r="89" spans="2:15" ht="24.95" customHeight="1" thickBot="1">
      <c r="B89" s="403" t="s">
        <v>359</v>
      </c>
      <c r="C89" s="404"/>
      <c r="D89" s="405"/>
      <c r="E89" s="405"/>
      <c r="F89" s="405"/>
      <c r="G89" s="405"/>
      <c r="H89" s="405"/>
      <c r="I89" s="405"/>
      <c r="J89" s="405"/>
      <c r="K89" s="405"/>
      <c r="L89" s="405"/>
      <c r="M89" s="405"/>
      <c r="N89" s="405"/>
      <c r="O89" s="406">
        <v>20283.78</v>
      </c>
    </row>
    <row r="90" spans="2:15">
      <c r="B90" s="48" t="s">
        <v>338</v>
      </c>
    </row>
    <row r="91" spans="2:15">
      <c r="B91" s="48" t="s">
        <v>356</v>
      </c>
    </row>
    <row r="93" spans="2:15" ht="16.5" thickBot="1">
      <c r="B93" s="353" t="s">
        <v>340</v>
      </c>
      <c r="C93" s="2"/>
      <c r="D93" s="2"/>
      <c r="E93" s="2"/>
      <c r="F93" s="2"/>
      <c r="G93" s="2"/>
      <c r="H93" s="2"/>
      <c r="I93" s="2"/>
      <c r="J93" s="2"/>
      <c r="K93" s="2"/>
      <c r="L93" s="2"/>
      <c r="M93" s="2"/>
      <c r="N93" s="2"/>
      <c r="O93" s="2"/>
    </row>
    <row r="94" spans="2:15" ht="24.95" customHeight="1" thickBot="1">
      <c r="B94" s="407" t="s">
        <v>357</v>
      </c>
      <c r="C94" s="408">
        <f t="shared" ref="C94:O94" si="20">C47/$O$89</f>
        <v>1.6420540269121435E-3</v>
      </c>
      <c r="D94" s="409">
        <f t="shared" si="20"/>
        <v>1.5325285725836114E-3</v>
      </c>
      <c r="E94" s="409">
        <f t="shared" si="20"/>
        <v>1.6123080367663229E-3</v>
      </c>
      <c r="F94" s="409">
        <f t="shared" si="20"/>
        <v>1.5658127745420234E-3</v>
      </c>
      <c r="G94" s="409">
        <f t="shared" si="20"/>
        <v>1.5456145378228317E-3</v>
      </c>
      <c r="H94" s="409">
        <f t="shared" si="20"/>
        <v>1.5465902834678744E-3</v>
      </c>
      <c r="I94" s="409">
        <f t="shared" si="20"/>
        <v>1.5759685965830825E-3</v>
      </c>
      <c r="J94" s="409">
        <f t="shared" si="20"/>
        <v>1.5633704398292628E-3</v>
      </c>
      <c r="K94" s="409">
        <f t="shared" si="20"/>
        <v>1.5832681748668149E-3</v>
      </c>
      <c r="L94" s="409">
        <f t="shared" si="20"/>
        <v>1.5786736545160714E-3</v>
      </c>
      <c r="M94" s="409">
        <f t="shared" si="20"/>
        <v>1.6019599887200514E-3</v>
      </c>
      <c r="N94" s="410">
        <f t="shared" si="20"/>
        <v>2.6475760366164495E-3</v>
      </c>
      <c r="O94" s="411">
        <f t="shared" si="20"/>
        <v>1.9995725123226539E-2</v>
      </c>
    </row>
  </sheetData>
  <printOptions horizontalCentered="1"/>
  <pageMargins left="0.7" right="0.7" top="0.75" bottom="0.75" header="0.3" footer="0.3"/>
  <pageSetup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94"/>
  <sheetViews>
    <sheetView workbookViewId="0"/>
  </sheetViews>
  <sheetFormatPr baseColWidth="10" defaultRowHeight="15"/>
  <cols>
    <col min="1" max="1" width="2.7109375" customWidth="1"/>
    <col min="2" max="2" width="52.42578125" customWidth="1"/>
    <col min="3" max="14" width="8.7109375" customWidth="1"/>
    <col min="15" max="15" width="10.5703125" customWidth="1"/>
  </cols>
  <sheetData>
    <row r="1" spans="1:16" ht="15.75">
      <c r="A1" s="2"/>
      <c r="B1" s="353" t="s">
        <v>18</v>
      </c>
      <c r="C1" s="2"/>
      <c r="D1" s="2"/>
      <c r="E1" s="2"/>
      <c r="F1" s="2"/>
      <c r="G1" s="2"/>
      <c r="H1" s="2"/>
      <c r="I1" s="2"/>
      <c r="J1" s="2"/>
      <c r="K1" s="2"/>
      <c r="L1" s="2"/>
      <c r="M1" s="2"/>
      <c r="N1" s="2"/>
      <c r="O1" s="2"/>
      <c r="P1" s="2"/>
    </row>
    <row r="2" spans="1:16" ht="15.75">
      <c r="A2" s="2"/>
      <c r="B2" s="353" t="s">
        <v>507</v>
      </c>
      <c r="C2" s="2"/>
      <c r="D2" s="2"/>
      <c r="E2" s="2"/>
      <c r="F2" s="2"/>
      <c r="G2" s="2"/>
      <c r="H2" s="2"/>
      <c r="I2" s="2"/>
      <c r="J2" s="2"/>
      <c r="K2" s="2"/>
      <c r="L2" s="2"/>
      <c r="M2" s="2"/>
      <c r="N2" s="2"/>
      <c r="O2" s="2"/>
      <c r="P2" s="2"/>
    </row>
    <row r="3" spans="1:16" ht="15.75">
      <c r="A3" s="2"/>
      <c r="B3" s="353" t="s">
        <v>19</v>
      </c>
      <c r="C3" s="2"/>
      <c r="D3" s="2"/>
      <c r="E3" s="2"/>
      <c r="F3" s="2"/>
      <c r="G3" s="2"/>
      <c r="H3" s="2"/>
      <c r="I3" s="2"/>
      <c r="J3" s="2"/>
      <c r="K3" s="2"/>
      <c r="L3" s="2"/>
      <c r="M3" s="2"/>
      <c r="N3" s="2"/>
      <c r="O3" s="2"/>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508</v>
      </c>
      <c r="P5" s="2"/>
    </row>
    <row r="6" spans="1:16" ht="15.75">
      <c r="A6" s="2"/>
      <c r="B6" s="358"/>
      <c r="C6" s="359"/>
      <c r="D6" s="359"/>
      <c r="E6" s="359"/>
      <c r="F6" s="359"/>
      <c r="G6" s="359"/>
      <c r="H6" s="359"/>
      <c r="I6" s="359"/>
      <c r="J6" s="359"/>
      <c r="K6" s="359"/>
      <c r="L6" s="359"/>
      <c r="M6" s="359"/>
      <c r="N6" s="359"/>
      <c r="O6" s="360"/>
      <c r="P6" s="2"/>
    </row>
    <row r="7" spans="1:16" ht="24.95" customHeight="1">
      <c r="A7" s="2"/>
      <c r="B7" s="362" t="s">
        <v>239</v>
      </c>
      <c r="C7" s="363">
        <f t="shared" ref="C7:N7" si="0">+C8+C12+C13</f>
        <v>410.83346138000002</v>
      </c>
      <c r="D7" s="363">
        <f t="shared" si="0"/>
        <v>353.61130834399995</v>
      </c>
      <c r="E7" s="363">
        <f t="shared" si="0"/>
        <v>366.60224732799998</v>
      </c>
      <c r="F7" s="363">
        <f t="shared" si="0"/>
        <v>639.48528663000013</v>
      </c>
      <c r="G7" s="363">
        <f t="shared" si="0"/>
        <v>365.21811676000004</v>
      </c>
      <c r="H7" s="363">
        <f t="shared" si="0"/>
        <v>395.48860855000004</v>
      </c>
      <c r="I7" s="363">
        <f t="shared" si="0"/>
        <v>369.68216336399996</v>
      </c>
      <c r="J7" s="363">
        <f t="shared" si="0"/>
        <v>362.34387659999999</v>
      </c>
      <c r="K7" s="363">
        <f t="shared" si="0"/>
        <v>337.2227634699999</v>
      </c>
      <c r="L7" s="363">
        <f t="shared" si="0"/>
        <v>373.23718672999991</v>
      </c>
      <c r="M7" s="363">
        <f t="shared" si="0"/>
        <v>355.44671685199995</v>
      </c>
      <c r="N7" s="363">
        <f t="shared" si="0"/>
        <v>430.06836654000006</v>
      </c>
      <c r="O7" s="364">
        <f>SUM(C7:N7)</f>
        <v>4759.2401025480003</v>
      </c>
      <c r="P7" s="2"/>
    </row>
    <row r="8" spans="1:16" ht="21" customHeight="1">
      <c r="A8" s="2"/>
      <c r="B8" s="365" t="s">
        <v>240</v>
      </c>
      <c r="C8" s="366">
        <f>+C9+C10+C11</f>
        <v>398.28286138000004</v>
      </c>
      <c r="D8" s="366">
        <f t="shared" ref="D8:N8" si="1">+D9+D10+D11</f>
        <v>341.41258834399997</v>
      </c>
      <c r="E8" s="366">
        <f t="shared" si="1"/>
        <v>348.52414166799997</v>
      </c>
      <c r="F8" s="366">
        <f t="shared" si="1"/>
        <v>621.83466950000013</v>
      </c>
      <c r="G8" s="366">
        <f t="shared" si="1"/>
        <v>341.24831676000002</v>
      </c>
      <c r="H8" s="366">
        <f t="shared" si="1"/>
        <v>376.83237025000005</v>
      </c>
      <c r="I8" s="366">
        <f t="shared" si="1"/>
        <v>353.86555037399995</v>
      </c>
      <c r="J8" s="366">
        <f t="shared" si="1"/>
        <v>352.88469696999999</v>
      </c>
      <c r="K8" s="366">
        <f t="shared" si="1"/>
        <v>326.35237346999992</v>
      </c>
      <c r="L8" s="366">
        <f t="shared" si="1"/>
        <v>355.55315976999992</v>
      </c>
      <c r="M8" s="366">
        <f t="shared" si="1"/>
        <v>344.83709685199995</v>
      </c>
      <c r="N8" s="366">
        <f t="shared" si="1"/>
        <v>419.45503725000003</v>
      </c>
      <c r="O8" s="367">
        <f t="shared" ref="O8:O13" si="2">SUM(C8:N8)</f>
        <v>4581.0828625879994</v>
      </c>
      <c r="P8" s="2"/>
    </row>
    <row r="9" spans="1:16" ht="18.75">
      <c r="A9" s="2"/>
      <c r="B9" s="368" t="s">
        <v>351</v>
      </c>
      <c r="C9" s="366">
        <v>330.53661442000003</v>
      </c>
      <c r="D9" s="366">
        <v>272.33571213999994</v>
      </c>
      <c r="E9" s="366">
        <v>288.10902278999998</v>
      </c>
      <c r="F9" s="366">
        <v>565.51915589000009</v>
      </c>
      <c r="G9" s="366">
        <v>281.51872457000002</v>
      </c>
      <c r="H9" s="366">
        <v>266.57539239000005</v>
      </c>
      <c r="I9" s="366">
        <v>293.61967584999996</v>
      </c>
      <c r="J9" s="366">
        <v>274.64508179000001</v>
      </c>
      <c r="K9" s="366">
        <v>262.14584421999996</v>
      </c>
      <c r="L9" s="366">
        <v>284.51762718999993</v>
      </c>
      <c r="M9" s="366">
        <v>278.18995469999999</v>
      </c>
      <c r="N9" s="366">
        <v>287.65649612999999</v>
      </c>
      <c r="O9" s="367">
        <f t="shared" si="2"/>
        <v>3685.3693020800001</v>
      </c>
      <c r="P9" s="2"/>
    </row>
    <row r="10" spans="1:16" ht="15.75">
      <c r="A10" s="2"/>
      <c r="B10" s="368" t="s">
        <v>317</v>
      </c>
      <c r="C10" s="366">
        <v>45.383613689999997</v>
      </c>
      <c r="D10" s="366">
        <v>50.678586670000001</v>
      </c>
      <c r="E10" s="366">
        <v>51.978933900000001</v>
      </c>
      <c r="F10" s="366">
        <v>46.118307599999994</v>
      </c>
      <c r="G10" s="366">
        <v>48.834462030000005</v>
      </c>
      <c r="H10" s="366">
        <v>99.207376930000009</v>
      </c>
      <c r="I10" s="366">
        <v>47.376767560000005</v>
      </c>
      <c r="J10" s="366">
        <v>69.332934010000002</v>
      </c>
      <c r="K10" s="366">
        <v>47.882017520000005</v>
      </c>
      <c r="L10" s="366">
        <v>45.72856298</v>
      </c>
      <c r="M10" s="366">
        <v>47.174553809999992</v>
      </c>
      <c r="N10" s="366">
        <v>134.17433129999998</v>
      </c>
      <c r="O10" s="367">
        <f t="shared" si="2"/>
        <v>733.8704479999999</v>
      </c>
      <c r="P10" s="2"/>
    </row>
    <row r="11" spans="1:16" ht="15.75">
      <c r="A11" s="2"/>
      <c r="B11" s="368" t="s">
        <v>318</v>
      </c>
      <c r="C11" s="366">
        <v>22.362633270000003</v>
      </c>
      <c r="D11" s="366">
        <v>18.398289533999996</v>
      </c>
      <c r="E11" s="366">
        <v>8.4361849779999929</v>
      </c>
      <c r="F11" s="366">
        <v>10.197206010000006</v>
      </c>
      <c r="G11" s="366">
        <v>10.895130160000001</v>
      </c>
      <c r="H11" s="366">
        <v>11.04960093</v>
      </c>
      <c r="I11" s="366">
        <v>12.869106963999993</v>
      </c>
      <c r="J11" s="366">
        <v>8.9066811699999988</v>
      </c>
      <c r="K11" s="366">
        <v>16.324511729999998</v>
      </c>
      <c r="L11" s="366">
        <v>25.306969600000006</v>
      </c>
      <c r="M11" s="366">
        <v>19.472588342000002</v>
      </c>
      <c r="N11" s="366">
        <v>-2.3757901799999885</v>
      </c>
      <c r="O11" s="367">
        <f t="shared" si="2"/>
        <v>161.84311250799999</v>
      </c>
      <c r="P11" s="2"/>
    </row>
    <row r="12" spans="1:16" ht="21" customHeight="1">
      <c r="A12" s="2"/>
      <c r="B12" s="365" t="s">
        <v>244</v>
      </c>
      <c r="C12" s="366">
        <v>0.01</v>
      </c>
      <c r="D12" s="366">
        <v>0</v>
      </c>
      <c r="E12" s="366">
        <v>2.4E-2</v>
      </c>
      <c r="F12" s="366">
        <v>3.3100000000000002E-4</v>
      </c>
      <c r="G12" s="366">
        <v>0</v>
      </c>
      <c r="H12" s="366">
        <v>0.14134830000000001</v>
      </c>
      <c r="I12" s="366">
        <v>0</v>
      </c>
      <c r="J12" s="366">
        <v>0</v>
      </c>
      <c r="K12" s="366">
        <v>0</v>
      </c>
      <c r="L12" s="366">
        <v>1.0537000000000001E-3</v>
      </c>
      <c r="M12" s="366">
        <v>0</v>
      </c>
      <c r="N12" s="366">
        <v>0</v>
      </c>
      <c r="O12" s="367">
        <f t="shared" si="2"/>
        <v>0.176733</v>
      </c>
      <c r="P12" s="2"/>
    </row>
    <row r="13" spans="1:16" ht="21" customHeight="1">
      <c r="A13" s="2"/>
      <c r="B13" s="365" t="s">
        <v>245</v>
      </c>
      <c r="C13" s="366">
        <v>12.540599999999998</v>
      </c>
      <c r="D13" s="366">
        <v>12.19872</v>
      </c>
      <c r="E13" s="366">
        <v>18.054105660000001</v>
      </c>
      <c r="F13" s="366">
        <v>17.650286129999998</v>
      </c>
      <c r="G13" s="366">
        <v>23.969800000000003</v>
      </c>
      <c r="H13" s="366">
        <v>18.514889999999998</v>
      </c>
      <c r="I13" s="366">
        <v>15.816612990000001</v>
      </c>
      <c r="J13" s="366">
        <v>9.4591796299999995</v>
      </c>
      <c r="K13" s="366">
        <v>10.87039</v>
      </c>
      <c r="L13" s="366">
        <v>17.682973260000001</v>
      </c>
      <c r="M13" s="366">
        <v>10.60962</v>
      </c>
      <c r="N13" s="366">
        <v>10.613329290000001</v>
      </c>
      <c r="O13" s="367">
        <f t="shared" si="2"/>
        <v>177.98050696000001</v>
      </c>
      <c r="P13" s="2"/>
    </row>
    <row r="14" spans="1:16" ht="24.95" customHeight="1">
      <c r="A14" s="2"/>
      <c r="B14" s="362" t="s">
        <v>246</v>
      </c>
      <c r="C14" s="363">
        <f>+C15+C21+C24</f>
        <v>439.21706709</v>
      </c>
      <c r="D14" s="363">
        <f t="shared" ref="D14:N14" si="3">+D15+D21+D24</f>
        <v>360.63260159999999</v>
      </c>
      <c r="E14" s="363">
        <f t="shared" si="3"/>
        <v>445.51846148999999</v>
      </c>
      <c r="F14" s="363">
        <f t="shared" si="3"/>
        <v>367.50978178299999</v>
      </c>
      <c r="G14" s="363">
        <f t="shared" si="3"/>
        <v>551.07595260999994</v>
      </c>
      <c r="H14" s="363">
        <f t="shared" si="3"/>
        <v>468.02928916999997</v>
      </c>
      <c r="I14" s="363">
        <f t="shared" si="3"/>
        <v>431.21285288299998</v>
      </c>
      <c r="J14" s="363">
        <f t="shared" si="3"/>
        <v>335.08888840999992</v>
      </c>
      <c r="K14" s="363">
        <f t="shared" si="3"/>
        <v>370.35293938000001</v>
      </c>
      <c r="L14" s="363">
        <f t="shared" si="3"/>
        <v>382.14709935750005</v>
      </c>
      <c r="M14" s="363">
        <f t="shared" si="3"/>
        <v>446.13543810249996</v>
      </c>
      <c r="N14" s="363">
        <f t="shared" si="3"/>
        <v>556.87412973999994</v>
      </c>
      <c r="O14" s="364">
        <f>SUM(C14:N14)</f>
        <v>5153.7945016160002</v>
      </c>
      <c r="P14" s="2"/>
    </row>
    <row r="15" spans="1:16" ht="21" customHeight="1">
      <c r="A15" s="2"/>
      <c r="B15" s="365" t="s">
        <v>247</v>
      </c>
      <c r="C15" s="366">
        <f>+C16+C19+C20</f>
        <v>387.16663662000002</v>
      </c>
      <c r="D15" s="366">
        <f t="shared" ref="D15:N15" si="4">+D16+D19+D20</f>
        <v>319.15209464999998</v>
      </c>
      <c r="E15" s="366">
        <f t="shared" si="4"/>
        <v>350.31084285999998</v>
      </c>
      <c r="F15" s="366">
        <f t="shared" si="4"/>
        <v>309.851249827</v>
      </c>
      <c r="G15" s="366">
        <f t="shared" si="4"/>
        <v>454.17562713999996</v>
      </c>
      <c r="H15" s="366">
        <f t="shared" si="4"/>
        <v>397.44737528999997</v>
      </c>
      <c r="I15" s="366">
        <f t="shared" si="4"/>
        <v>364.39098681299998</v>
      </c>
      <c r="J15" s="366">
        <f t="shared" si="4"/>
        <v>302.68961321999996</v>
      </c>
      <c r="K15" s="366">
        <f t="shared" si="4"/>
        <v>308.55346840999999</v>
      </c>
      <c r="L15" s="366">
        <f t="shared" si="4"/>
        <v>316.80347960750004</v>
      </c>
      <c r="M15" s="366">
        <f t="shared" si="4"/>
        <v>373.46988618249998</v>
      </c>
      <c r="N15" s="366">
        <f t="shared" si="4"/>
        <v>486.37282092999993</v>
      </c>
      <c r="O15" s="367">
        <f t="shared" ref="O15:O24" si="5">SUM(C15:N15)</f>
        <v>4370.3840815499998</v>
      </c>
      <c r="P15" s="2"/>
    </row>
    <row r="16" spans="1:16" ht="15.75">
      <c r="A16" s="2"/>
      <c r="B16" s="368" t="s">
        <v>321</v>
      </c>
      <c r="C16" s="366">
        <f>+C17+C18</f>
        <v>226.93397619000001</v>
      </c>
      <c r="D16" s="366">
        <f t="shared" ref="D16:N16" si="6">+D17+D18</f>
        <v>221.31391786</v>
      </c>
      <c r="E16" s="366">
        <f t="shared" si="6"/>
        <v>215.48416834</v>
      </c>
      <c r="F16" s="366">
        <f t="shared" si="6"/>
        <v>223.93468132699999</v>
      </c>
      <c r="G16" s="366">
        <f t="shared" si="6"/>
        <v>302.58825150999996</v>
      </c>
      <c r="H16" s="366">
        <f t="shared" si="6"/>
        <v>240.80643622999997</v>
      </c>
      <c r="I16" s="366">
        <f t="shared" si="6"/>
        <v>213.92839092</v>
      </c>
      <c r="J16" s="366">
        <f t="shared" si="6"/>
        <v>199.68315952999995</v>
      </c>
      <c r="K16" s="366">
        <f t="shared" si="6"/>
        <v>219.14635522999998</v>
      </c>
      <c r="L16" s="366">
        <f t="shared" si="6"/>
        <v>199.50837141750003</v>
      </c>
      <c r="M16" s="366">
        <f t="shared" si="6"/>
        <v>251.58723722249999</v>
      </c>
      <c r="N16" s="366">
        <f t="shared" si="6"/>
        <v>379.74591104999996</v>
      </c>
      <c r="O16" s="367">
        <f t="shared" si="5"/>
        <v>2894.6608568270003</v>
      </c>
      <c r="P16" s="2"/>
    </row>
    <row r="17" spans="1:16" ht="15.75">
      <c r="A17" s="2"/>
      <c r="B17" s="369" t="s">
        <v>322</v>
      </c>
      <c r="C17" s="366">
        <v>151.860357451</v>
      </c>
      <c r="D17" s="366">
        <v>146.49544174100001</v>
      </c>
      <c r="E17" s="366">
        <v>142.10346469199999</v>
      </c>
      <c r="F17" s="366">
        <v>163.393389571</v>
      </c>
      <c r="G17" s="366">
        <v>182.05983113899998</v>
      </c>
      <c r="H17" s="366">
        <v>172.88876289399997</v>
      </c>
      <c r="I17" s="366">
        <v>150.913928916</v>
      </c>
      <c r="J17" s="366">
        <v>147.14760734599997</v>
      </c>
      <c r="K17" s="366">
        <v>153.11774997099999</v>
      </c>
      <c r="L17" s="366">
        <v>149.44149790825003</v>
      </c>
      <c r="M17" s="366">
        <v>162.30642325775</v>
      </c>
      <c r="N17" s="366">
        <v>274.68694055699996</v>
      </c>
      <c r="O17" s="367">
        <f t="shared" si="5"/>
        <v>1996.4153954439998</v>
      </c>
      <c r="P17" s="2"/>
    </row>
    <row r="18" spans="1:16" ht="15.75">
      <c r="A18" s="2"/>
      <c r="B18" s="369" t="s">
        <v>323</v>
      </c>
      <c r="C18" s="366">
        <v>75.073618738999997</v>
      </c>
      <c r="D18" s="366">
        <v>74.818476118999996</v>
      </c>
      <c r="E18" s="366">
        <v>73.380703647999994</v>
      </c>
      <c r="F18" s="366">
        <v>60.541291755999993</v>
      </c>
      <c r="G18" s="366">
        <v>120.52842037099998</v>
      </c>
      <c r="H18" s="366">
        <v>67.917673335999993</v>
      </c>
      <c r="I18" s="366">
        <v>63.014462004000002</v>
      </c>
      <c r="J18" s="366">
        <v>52.535552183999989</v>
      </c>
      <c r="K18" s="366">
        <v>66.028605259000003</v>
      </c>
      <c r="L18" s="366">
        <v>50.066873509250001</v>
      </c>
      <c r="M18" s="366">
        <v>89.280813964749996</v>
      </c>
      <c r="N18" s="366">
        <v>105.05897049299999</v>
      </c>
      <c r="O18" s="367">
        <f t="shared" si="5"/>
        <v>898.24546138299991</v>
      </c>
      <c r="P18" s="2"/>
    </row>
    <row r="19" spans="1:16" ht="15.75">
      <c r="A19" s="2"/>
      <c r="B19" s="368" t="s">
        <v>352</v>
      </c>
      <c r="C19" s="366">
        <v>79.160322270000009</v>
      </c>
      <c r="D19" s="366">
        <v>30.763651959999997</v>
      </c>
      <c r="E19" s="366">
        <v>57.153007779999996</v>
      </c>
      <c r="F19" s="366">
        <v>8.616661409999999</v>
      </c>
      <c r="G19" s="366">
        <v>24.370118159999997</v>
      </c>
      <c r="H19" s="366">
        <v>67.253635979999999</v>
      </c>
      <c r="I19" s="366">
        <v>73.524213689999996</v>
      </c>
      <c r="J19" s="366">
        <v>29.968112300000001</v>
      </c>
      <c r="K19" s="366">
        <v>25.428931080000002</v>
      </c>
      <c r="L19" s="366">
        <v>45.26662073</v>
      </c>
      <c r="M19" s="366">
        <v>38.620370520000002</v>
      </c>
      <c r="N19" s="366">
        <v>56.29054451999999</v>
      </c>
      <c r="O19" s="367">
        <f t="shared" si="5"/>
        <v>536.4161904</v>
      </c>
      <c r="P19" s="2"/>
    </row>
    <row r="20" spans="1:16" ht="15.75">
      <c r="A20" s="2"/>
      <c r="B20" s="368" t="s">
        <v>325</v>
      </c>
      <c r="C20" s="366">
        <v>81.072338160000001</v>
      </c>
      <c r="D20" s="366">
        <v>67.074524830000001</v>
      </c>
      <c r="E20" s="366">
        <v>77.673666740000002</v>
      </c>
      <c r="F20" s="366">
        <v>77.299907090000005</v>
      </c>
      <c r="G20" s="366">
        <v>127.21725747000001</v>
      </c>
      <c r="H20" s="366">
        <v>89.387303079999995</v>
      </c>
      <c r="I20" s="366">
        <v>76.938382203000003</v>
      </c>
      <c r="J20" s="366">
        <v>73.038341389999999</v>
      </c>
      <c r="K20" s="366">
        <v>63.978182099999998</v>
      </c>
      <c r="L20" s="366">
        <v>72.028487459999994</v>
      </c>
      <c r="M20" s="366">
        <v>83.262278440000003</v>
      </c>
      <c r="N20" s="366">
        <v>50.336365360000002</v>
      </c>
      <c r="O20" s="367">
        <f t="shared" si="5"/>
        <v>939.30703432299993</v>
      </c>
      <c r="P20" s="2"/>
    </row>
    <row r="21" spans="1:16" ht="21" customHeight="1">
      <c r="A21" s="2"/>
      <c r="B21" s="365" t="s">
        <v>259</v>
      </c>
      <c r="C21" s="366">
        <f>+C22+C23</f>
        <v>52.050430469999995</v>
      </c>
      <c r="D21" s="366">
        <f t="shared" ref="D21:N21" si="7">+D22+D23</f>
        <v>41.480506949999999</v>
      </c>
      <c r="E21" s="366">
        <f t="shared" si="7"/>
        <v>95.207618630000013</v>
      </c>
      <c r="F21" s="366">
        <f t="shared" si="7"/>
        <v>57.658531956000004</v>
      </c>
      <c r="G21" s="366">
        <f t="shared" si="7"/>
        <v>96.900325469999984</v>
      </c>
      <c r="H21" s="366">
        <f t="shared" si="7"/>
        <v>70.643612500000003</v>
      </c>
      <c r="I21" s="366">
        <f t="shared" si="7"/>
        <v>67.002278510000011</v>
      </c>
      <c r="J21" s="366">
        <f t="shared" si="7"/>
        <v>32.39927518999999</v>
      </c>
      <c r="K21" s="366">
        <f t="shared" si="7"/>
        <v>61.799470970000023</v>
      </c>
      <c r="L21" s="366">
        <f t="shared" si="7"/>
        <v>65.343619750000002</v>
      </c>
      <c r="M21" s="366">
        <f t="shared" si="7"/>
        <v>72.665551920000013</v>
      </c>
      <c r="N21" s="366">
        <f t="shared" si="7"/>
        <v>70.726605950000007</v>
      </c>
      <c r="O21" s="367">
        <f t="shared" si="5"/>
        <v>783.87782826600005</v>
      </c>
      <c r="P21" s="2"/>
    </row>
    <row r="22" spans="1:16" ht="15.75">
      <c r="A22" s="2"/>
      <c r="B22" s="368" t="s">
        <v>260</v>
      </c>
      <c r="C22" s="366">
        <v>49.688596359999998</v>
      </c>
      <c r="D22" s="366">
        <v>31.005383129999998</v>
      </c>
      <c r="E22" s="366">
        <v>87.761487550000012</v>
      </c>
      <c r="F22" s="366">
        <v>56.684019756000005</v>
      </c>
      <c r="G22" s="366">
        <v>83.885844879999993</v>
      </c>
      <c r="H22" s="366">
        <v>68.693374160000005</v>
      </c>
      <c r="I22" s="366">
        <v>62.90366362000001</v>
      </c>
      <c r="J22" s="366">
        <v>28.923017549999994</v>
      </c>
      <c r="K22" s="366">
        <v>58.466581960000021</v>
      </c>
      <c r="L22" s="366">
        <v>62.328868880000002</v>
      </c>
      <c r="M22" s="366">
        <v>67.01686448000001</v>
      </c>
      <c r="N22" s="366">
        <v>69.973057080000004</v>
      </c>
      <c r="O22" s="367">
        <f t="shared" si="5"/>
        <v>727.33075940599997</v>
      </c>
      <c r="P22" s="2"/>
    </row>
    <row r="23" spans="1:16" ht="15.75">
      <c r="A23" s="2"/>
      <c r="B23" s="368" t="s">
        <v>326</v>
      </c>
      <c r="C23" s="366">
        <v>2.3618341100000002</v>
      </c>
      <c r="D23" s="366">
        <v>10.47512382</v>
      </c>
      <c r="E23" s="366">
        <v>7.4461310799999998</v>
      </c>
      <c r="F23" s="366">
        <v>0.97451219999999994</v>
      </c>
      <c r="G23" s="366">
        <v>13.014480589999998</v>
      </c>
      <c r="H23" s="366">
        <v>1.9502383399999998</v>
      </c>
      <c r="I23" s="366">
        <v>4.0986148900000003</v>
      </c>
      <c r="J23" s="366">
        <v>3.4762576399999996</v>
      </c>
      <c r="K23" s="366">
        <v>3.3328890100000002</v>
      </c>
      <c r="L23" s="366">
        <v>3.0147508699999999</v>
      </c>
      <c r="M23" s="366">
        <v>5.6486874399999998</v>
      </c>
      <c r="N23" s="366">
        <v>0.75354887000000004</v>
      </c>
      <c r="O23" s="367">
        <f t="shared" si="5"/>
        <v>56.547068859999996</v>
      </c>
      <c r="P23" s="2"/>
    </row>
    <row r="24" spans="1:16" ht="21" customHeight="1">
      <c r="A24" s="2"/>
      <c r="B24" s="365" t="s">
        <v>327</v>
      </c>
      <c r="C24" s="366">
        <v>0</v>
      </c>
      <c r="D24" s="366">
        <v>0</v>
      </c>
      <c r="E24" s="366">
        <v>0</v>
      </c>
      <c r="F24" s="366">
        <v>0</v>
      </c>
      <c r="G24" s="366">
        <v>0</v>
      </c>
      <c r="H24" s="366">
        <v>-6.1698620000000003E-2</v>
      </c>
      <c r="I24" s="366">
        <v>-0.18041244000000001</v>
      </c>
      <c r="J24" s="366">
        <v>0</v>
      </c>
      <c r="K24" s="366">
        <v>0</v>
      </c>
      <c r="L24" s="366">
        <v>0</v>
      </c>
      <c r="M24" s="366">
        <v>0</v>
      </c>
      <c r="N24" s="366">
        <v>-0.22529714000000001</v>
      </c>
      <c r="O24" s="367">
        <f t="shared" si="5"/>
        <v>-0.46740820000000005</v>
      </c>
      <c r="P24" s="2"/>
    </row>
    <row r="25" spans="1:16" ht="24.95" customHeight="1">
      <c r="A25" s="2"/>
      <c r="B25" s="362" t="s">
        <v>269</v>
      </c>
      <c r="C25" s="363">
        <f t="shared" ref="C25:N25" si="8">C8-C15</f>
        <v>11.116224760000023</v>
      </c>
      <c r="D25" s="363">
        <f t="shared" si="8"/>
        <v>22.26049369399999</v>
      </c>
      <c r="E25" s="363">
        <f t="shared" si="8"/>
        <v>-1.7867011920000095</v>
      </c>
      <c r="F25" s="363">
        <f t="shared" si="8"/>
        <v>311.98341967300013</v>
      </c>
      <c r="G25" s="363">
        <f t="shared" si="8"/>
        <v>-112.92731037999994</v>
      </c>
      <c r="H25" s="363">
        <f t="shared" si="8"/>
        <v>-20.615005039999915</v>
      </c>
      <c r="I25" s="363">
        <f t="shared" si="8"/>
        <v>-10.525436439000032</v>
      </c>
      <c r="J25" s="363">
        <f t="shared" si="8"/>
        <v>50.195083750000038</v>
      </c>
      <c r="K25" s="363">
        <f t="shared" si="8"/>
        <v>17.798905059999925</v>
      </c>
      <c r="L25" s="363">
        <f t="shared" si="8"/>
        <v>38.749680162499885</v>
      </c>
      <c r="M25" s="363">
        <f t="shared" si="8"/>
        <v>-28.632789330500032</v>
      </c>
      <c r="N25" s="363">
        <f t="shared" si="8"/>
        <v>-66.9177836799999</v>
      </c>
      <c r="O25" s="364">
        <f>SUM(C25:N25)</f>
        <v>210.69878103800016</v>
      </c>
      <c r="P25" s="2"/>
    </row>
    <row r="26" spans="1:16" ht="39.950000000000003" customHeight="1">
      <c r="A26" s="2"/>
      <c r="B26" s="372" t="s">
        <v>354</v>
      </c>
      <c r="C26" s="363">
        <f>C28+C19</f>
        <v>50.776716560000025</v>
      </c>
      <c r="D26" s="363">
        <f t="shared" ref="D26:N26" si="9">D28+D19</f>
        <v>23.742358703999962</v>
      </c>
      <c r="E26" s="363">
        <f t="shared" si="9"/>
        <v>-21.763206382000021</v>
      </c>
      <c r="F26" s="363">
        <f t="shared" si="9"/>
        <v>280.59216625700014</v>
      </c>
      <c r="G26" s="363">
        <f t="shared" si="9"/>
        <v>-161.4877176899999</v>
      </c>
      <c r="H26" s="363">
        <f t="shared" si="9"/>
        <v>-5.2870446399999338</v>
      </c>
      <c r="I26" s="363">
        <f t="shared" si="9"/>
        <v>11.993524170999976</v>
      </c>
      <c r="J26" s="363">
        <f t="shared" si="9"/>
        <v>57.223100490000064</v>
      </c>
      <c r="K26" s="363">
        <f t="shared" si="9"/>
        <v>-7.7012448300001033</v>
      </c>
      <c r="L26" s="363">
        <f t="shared" si="9"/>
        <v>36.356708102499852</v>
      </c>
      <c r="M26" s="363">
        <f t="shared" si="9"/>
        <v>-52.068350730500008</v>
      </c>
      <c r="N26" s="363">
        <f t="shared" si="9"/>
        <v>-70.51521867999989</v>
      </c>
      <c r="O26" s="364">
        <f>SUM(C26:N26)</f>
        <v>141.86179133200019</v>
      </c>
      <c r="P26" s="2"/>
    </row>
    <row r="27" spans="1:16" ht="24.95" customHeight="1">
      <c r="A27" s="2"/>
      <c r="B27" s="373" t="s">
        <v>328</v>
      </c>
      <c r="C27" s="366"/>
      <c r="D27" s="366"/>
      <c r="E27" s="366"/>
      <c r="F27" s="366"/>
      <c r="G27" s="366"/>
      <c r="H27" s="366"/>
      <c r="I27" s="366"/>
      <c r="J27" s="366"/>
      <c r="K27" s="366"/>
      <c r="L27" s="366"/>
      <c r="M27" s="366"/>
      <c r="N27" s="366"/>
      <c r="O27" s="364"/>
      <c r="P27" s="2"/>
    </row>
    <row r="28" spans="1:16" ht="21" customHeight="1">
      <c r="A28" s="2"/>
      <c r="B28" s="374" t="s">
        <v>329</v>
      </c>
      <c r="C28" s="363">
        <f t="shared" ref="C28:N28" si="10">C7-C14</f>
        <v>-28.383605709999983</v>
      </c>
      <c r="D28" s="363">
        <f t="shared" si="10"/>
        <v>-7.0212932560000354</v>
      </c>
      <c r="E28" s="363">
        <f t="shared" si="10"/>
        <v>-78.916214162000017</v>
      </c>
      <c r="F28" s="363">
        <f t="shared" si="10"/>
        <v>271.97550484700014</v>
      </c>
      <c r="G28" s="363">
        <f t="shared" si="10"/>
        <v>-185.8578358499999</v>
      </c>
      <c r="H28" s="363">
        <f t="shared" si="10"/>
        <v>-72.540680619999932</v>
      </c>
      <c r="I28" s="363">
        <f t="shared" si="10"/>
        <v>-61.53068951900002</v>
      </c>
      <c r="J28" s="363">
        <f t="shared" si="10"/>
        <v>27.254988190000063</v>
      </c>
      <c r="K28" s="363">
        <f t="shared" si="10"/>
        <v>-33.130175910000105</v>
      </c>
      <c r="L28" s="363">
        <f t="shared" si="10"/>
        <v>-8.9099126275001481</v>
      </c>
      <c r="M28" s="363">
        <f t="shared" si="10"/>
        <v>-90.688721250500009</v>
      </c>
      <c r="N28" s="363">
        <f t="shared" si="10"/>
        <v>-126.80576319999989</v>
      </c>
      <c r="O28" s="364">
        <f t="shared" ref="O28:O42" si="11">SUM(C28:N28)</f>
        <v>-394.55439906799984</v>
      </c>
      <c r="P28" s="2"/>
    </row>
    <row r="29" spans="1:16" ht="21" customHeight="1">
      <c r="A29" s="2"/>
      <c r="B29" s="374" t="s">
        <v>330</v>
      </c>
      <c r="C29" s="363">
        <f t="shared" ref="C29:N29" si="12">C28-C13</f>
        <v>-40.924205709999981</v>
      </c>
      <c r="D29" s="363">
        <f t="shared" si="12"/>
        <v>-19.220013256000037</v>
      </c>
      <c r="E29" s="363">
        <f t="shared" si="12"/>
        <v>-96.970319822000022</v>
      </c>
      <c r="F29" s="363">
        <f t="shared" si="12"/>
        <v>254.32521871700015</v>
      </c>
      <c r="G29" s="363">
        <f t="shared" si="12"/>
        <v>-209.82763584999989</v>
      </c>
      <c r="H29" s="363">
        <f t="shared" si="12"/>
        <v>-91.055570619999926</v>
      </c>
      <c r="I29" s="363">
        <f t="shared" si="12"/>
        <v>-77.347302509000016</v>
      </c>
      <c r="J29" s="363">
        <f t="shared" si="12"/>
        <v>17.795808560000062</v>
      </c>
      <c r="K29" s="363">
        <f t="shared" si="12"/>
        <v>-44.000565910000105</v>
      </c>
      <c r="L29" s="363">
        <f t="shared" si="12"/>
        <v>-26.592885887500149</v>
      </c>
      <c r="M29" s="363">
        <f t="shared" si="12"/>
        <v>-101.29834125050002</v>
      </c>
      <c r="N29" s="363">
        <f t="shared" si="12"/>
        <v>-137.41909248999988</v>
      </c>
      <c r="O29" s="364">
        <f t="shared" si="11"/>
        <v>-572.5349060279998</v>
      </c>
      <c r="P29" s="2"/>
    </row>
    <row r="30" spans="1:16" ht="21" customHeight="1">
      <c r="A30" s="2"/>
      <c r="B30" s="374" t="s">
        <v>355</v>
      </c>
      <c r="C30" s="363">
        <f t="shared" ref="C30:N30" si="13">C28-C47</f>
        <v>-60.724695489999981</v>
      </c>
      <c r="D30" s="363">
        <f t="shared" si="13"/>
        <v>-40.407555466000034</v>
      </c>
      <c r="E30" s="363">
        <f t="shared" si="13"/>
        <v>-111.56298002200002</v>
      </c>
      <c r="F30" s="363">
        <f t="shared" si="13"/>
        <v>239.12242543700012</v>
      </c>
      <c r="G30" s="363">
        <f t="shared" si="13"/>
        <v>-217.86939696999991</v>
      </c>
      <c r="H30" s="363">
        <f t="shared" si="13"/>
        <v>-106.05458779999994</v>
      </c>
      <c r="I30" s="363">
        <f t="shared" si="13"/>
        <v>-94.954274539000025</v>
      </c>
      <c r="J30" s="363">
        <f t="shared" si="13"/>
        <v>-5.2860037999999392</v>
      </c>
      <c r="K30" s="363">
        <f t="shared" si="13"/>
        <v>-66.727981040000103</v>
      </c>
      <c r="L30" s="363">
        <f t="shared" si="13"/>
        <v>-42.169989627500144</v>
      </c>
      <c r="M30" s="363">
        <f t="shared" si="13"/>
        <v>-125.25719981050001</v>
      </c>
      <c r="N30" s="363">
        <f t="shared" si="13"/>
        <v>-182.00872857999988</v>
      </c>
      <c r="O30" s="364">
        <f t="shared" si="11"/>
        <v>-813.90096770799983</v>
      </c>
      <c r="P30" s="2"/>
    </row>
    <row r="31" spans="1:16" ht="24.95" customHeight="1">
      <c r="A31" s="2"/>
      <c r="B31" s="362" t="s">
        <v>332</v>
      </c>
      <c r="C31" s="363">
        <f>SUM(C32:C33)</f>
        <v>-1.0896720000000002</v>
      </c>
      <c r="D31" s="363">
        <f t="shared" ref="D31:N31" si="14">SUM(D32:D33)</f>
        <v>-8.0134540000000012</v>
      </c>
      <c r="E31" s="363">
        <f t="shared" si="14"/>
        <v>-6.7577100000000012</v>
      </c>
      <c r="F31" s="363">
        <f t="shared" si="14"/>
        <v>-11.734953330000003</v>
      </c>
      <c r="G31" s="363">
        <f t="shared" si="14"/>
        <v>81.203786000000008</v>
      </c>
      <c r="H31" s="363">
        <f t="shared" si="14"/>
        <v>-3.6265367499999996</v>
      </c>
      <c r="I31" s="363">
        <f t="shared" si="14"/>
        <v>-17.351288</v>
      </c>
      <c r="J31" s="363">
        <f t="shared" si="14"/>
        <v>2.8223599999999998</v>
      </c>
      <c r="K31" s="363">
        <f t="shared" si="14"/>
        <v>-17.144276599999998</v>
      </c>
      <c r="L31" s="363">
        <f t="shared" si="14"/>
        <v>2.9774402500000008</v>
      </c>
      <c r="M31" s="363">
        <f t="shared" si="14"/>
        <v>94.323858999999999</v>
      </c>
      <c r="N31" s="363">
        <f t="shared" si="14"/>
        <v>796.72073449000004</v>
      </c>
      <c r="O31" s="364">
        <f t="shared" si="11"/>
        <v>912.33028906000004</v>
      </c>
      <c r="P31" s="2"/>
    </row>
    <row r="32" spans="1:16" ht="15.75">
      <c r="A32" s="2"/>
      <c r="B32" s="365" t="s">
        <v>276</v>
      </c>
      <c r="C32" s="366">
        <v>15.219832</v>
      </c>
      <c r="D32" s="366">
        <v>13.680586</v>
      </c>
      <c r="E32" s="366">
        <v>13.437094</v>
      </c>
      <c r="F32" s="366">
        <v>5.4761309999999996</v>
      </c>
      <c r="G32" s="366">
        <v>113.45291</v>
      </c>
      <c r="H32" s="366">
        <v>20.945741999999999</v>
      </c>
      <c r="I32" s="366">
        <v>0.70039600000000002</v>
      </c>
      <c r="J32" s="366">
        <v>25.422461999999999</v>
      </c>
      <c r="K32" s="366">
        <v>5.4690799999999999</v>
      </c>
      <c r="L32" s="366">
        <v>23.5</v>
      </c>
      <c r="M32" s="366">
        <v>128.783514</v>
      </c>
      <c r="N32" s="366">
        <v>835.67443000000003</v>
      </c>
      <c r="O32" s="367">
        <f t="shared" si="11"/>
        <v>1201.7621770000001</v>
      </c>
      <c r="P32" s="329"/>
    </row>
    <row r="33" spans="1:16" ht="15.75">
      <c r="A33" s="2"/>
      <c r="B33" s="365" t="s">
        <v>277</v>
      </c>
      <c r="C33" s="366">
        <v>-16.309504</v>
      </c>
      <c r="D33" s="366">
        <v>-21.694040000000001</v>
      </c>
      <c r="E33" s="366">
        <v>-20.194804000000001</v>
      </c>
      <c r="F33" s="366">
        <v>-17.211084330000002</v>
      </c>
      <c r="G33" s="366">
        <v>-32.249124000000002</v>
      </c>
      <c r="H33" s="366">
        <v>-24.572278749999999</v>
      </c>
      <c r="I33" s="366">
        <v>-18.051684000000002</v>
      </c>
      <c r="J33" s="366">
        <v>-22.600102</v>
      </c>
      <c r="K33" s="366">
        <v>-22.613356599999996</v>
      </c>
      <c r="L33" s="366">
        <v>-20.522559749999999</v>
      </c>
      <c r="M33" s="366">
        <v>-34.459654999999998</v>
      </c>
      <c r="N33" s="366">
        <v>-38.953695509999996</v>
      </c>
      <c r="O33" s="367">
        <f t="shared" si="11"/>
        <v>-289.43188794000002</v>
      </c>
      <c r="P33" s="329"/>
    </row>
    <row r="34" spans="1:16" ht="24.95" customHeight="1">
      <c r="A34" s="2"/>
      <c r="B34" s="362" t="s">
        <v>333</v>
      </c>
      <c r="C34" s="363">
        <f>SUM(C35:C41)</f>
        <v>29.473277709999987</v>
      </c>
      <c r="D34" s="363">
        <f t="shared" ref="D34:N34" si="15">SUM(D35:D41)</f>
        <v>15.034747256000031</v>
      </c>
      <c r="E34" s="363">
        <f t="shared" si="15"/>
        <v>85.67392416200002</v>
      </c>
      <c r="F34" s="363">
        <f t="shared" si="15"/>
        <v>-260.24055151700014</v>
      </c>
      <c r="G34" s="363">
        <f t="shared" si="15"/>
        <v>104.65404984999989</v>
      </c>
      <c r="H34" s="363">
        <f t="shared" si="15"/>
        <v>76.16751736999997</v>
      </c>
      <c r="I34" s="363">
        <f t="shared" si="15"/>
        <v>78.881977519000031</v>
      </c>
      <c r="J34" s="363">
        <f t="shared" si="15"/>
        <v>-30.077348190000063</v>
      </c>
      <c r="K34" s="363">
        <f t="shared" si="15"/>
        <v>50.274452510000103</v>
      </c>
      <c r="L34" s="363">
        <f t="shared" si="15"/>
        <v>5.9324723775001473</v>
      </c>
      <c r="M34" s="363">
        <f t="shared" si="15"/>
        <v>-3.6351377494999895</v>
      </c>
      <c r="N34" s="363">
        <f t="shared" si="15"/>
        <v>-669.91497129000015</v>
      </c>
      <c r="O34" s="364">
        <f t="shared" si="11"/>
        <v>-517.77558999200016</v>
      </c>
      <c r="P34" s="2"/>
    </row>
    <row r="35" spans="1:16" ht="15.75">
      <c r="A35" s="2"/>
      <c r="B35" s="365" t="s">
        <v>279</v>
      </c>
      <c r="C35" s="366">
        <v>40.161999999999999</v>
      </c>
      <c r="D35" s="366">
        <v>29.311999999999998</v>
      </c>
      <c r="E35" s="366">
        <v>-48.597000000000001</v>
      </c>
      <c r="F35" s="366">
        <v>26.480996000000001</v>
      </c>
      <c r="G35" s="366">
        <v>-110.76</v>
      </c>
      <c r="H35" s="366">
        <v>75.343999999999994</v>
      </c>
      <c r="I35" s="366">
        <v>33.055999999999997</v>
      </c>
      <c r="J35" s="366">
        <v>20.004000000000001</v>
      </c>
      <c r="K35" s="366">
        <v>-3.036</v>
      </c>
      <c r="L35" s="366">
        <v>1.4809999999999999</v>
      </c>
      <c r="M35" s="366">
        <v>-22.361000000000001</v>
      </c>
      <c r="N35" s="366">
        <v>-780.29700000000003</v>
      </c>
      <c r="O35" s="367">
        <f t="shared" si="11"/>
        <v>-739.211004</v>
      </c>
      <c r="P35" s="2"/>
    </row>
    <row r="36" spans="1:16" ht="15.75">
      <c r="A36" s="2"/>
      <c r="B36" s="376" t="s">
        <v>282</v>
      </c>
      <c r="C36" s="366">
        <v>-46.838999999999999</v>
      </c>
      <c r="D36" s="366">
        <v>0.30049223000000325</v>
      </c>
      <c r="E36" s="366">
        <v>81.199784129999998</v>
      </c>
      <c r="F36" s="366">
        <v>-173.78529065999999</v>
      </c>
      <c r="G36" s="366">
        <v>130.20959733999999</v>
      </c>
      <c r="H36" s="366">
        <v>41.735041749999993</v>
      </c>
      <c r="I36" s="366">
        <v>51.42924390000001</v>
      </c>
      <c r="J36" s="366">
        <v>-33.899991970000002</v>
      </c>
      <c r="K36" s="366">
        <v>23.055035759999996</v>
      </c>
      <c r="L36" s="366">
        <v>-11.416733880000002</v>
      </c>
      <c r="M36" s="366">
        <v>11.480430699999996</v>
      </c>
      <c r="N36" s="366">
        <v>88.728457240000012</v>
      </c>
      <c r="O36" s="367">
        <f t="shared" si="11"/>
        <v>162.19706653999998</v>
      </c>
      <c r="P36" s="2"/>
    </row>
    <row r="37" spans="1:16" ht="15.75">
      <c r="A37" s="2"/>
      <c r="B37" s="376" t="s">
        <v>283</v>
      </c>
      <c r="C37" s="366">
        <v>0</v>
      </c>
      <c r="D37" s="366">
        <v>0</v>
      </c>
      <c r="E37" s="366">
        <v>0</v>
      </c>
      <c r="F37" s="366">
        <v>0</v>
      </c>
      <c r="G37" s="366">
        <v>0</v>
      </c>
      <c r="H37" s="366">
        <v>0</v>
      </c>
      <c r="I37" s="366">
        <v>0</v>
      </c>
      <c r="J37" s="366">
        <v>0</v>
      </c>
      <c r="K37" s="366">
        <v>0</v>
      </c>
      <c r="L37" s="366">
        <v>0</v>
      </c>
      <c r="M37" s="366">
        <v>0</v>
      </c>
      <c r="N37" s="366">
        <v>0</v>
      </c>
      <c r="O37" s="367">
        <f t="shared" si="11"/>
        <v>0</v>
      </c>
      <c r="P37" s="2"/>
    </row>
    <row r="38" spans="1:16" ht="15.75">
      <c r="A38" s="2"/>
      <c r="B38" s="376" t="s">
        <v>284</v>
      </c>
      <c r="C38" s="366">
        <v>25.842808909999999</v>
      </c>
      <c r="D38" s="366">
        <v>21.936718320000001</v>
      </c>
      <c r="E38" s="366">
        <v>77.797853919999994</v>
      </c>
      <c r="F38" s="366">
        <v>-6.7355886999999957</v>
      </c>
      <c r="G38" s="366">
        <v>34.16297660999998</v>
      </c>
      <c r="H38" s="366">
        <v>-8.6403514699999988</v>
      </c>
      <c r="I38" s="366">
        <v>63.50919536</v>
      </c>
      <c r="J38" s="366">
        <v>25.245695690000005</v>
      </c>
      <c r="K38" s="366">
        <v>47.825121909999993</v>
      </c>
      <c r="L38" s="366">
        <v>50.906134500000007</v>
      </c>
      <c r="M38" s="366">
        <v>44.554131440000006</v>
      </c>
      <c r="N38" s="366">
        <v>85.341377729999991</v>
      </c>
      <c r="O38" s="367">
        <f t="shared" si="11"/>
        <v>461.74607421999997</v>
      </c>
      <c r="P38" s="2"/>
    </row>
    <row r="39" spans="1:16" ht="15.75">
      <c r="A39" s="2"/>
      <c r="B39" s="376" t="s">
        <v>334</v>
      </c>
      <c r="C39" s="366">
        <v>0</v>
      </c>
      <c r="D39" s="366">
        <v>0</v>
      </c>
      <c r="E39" s="366">
        <v>0</v>
      </c>
      <c r="F39" s="366">
        <v>0</v>
      </c>
      <c r="G39" s="366">
        <v>0</v>
      </c>
      <c r="H39" s="366">
        <v>0</v>
      </c>
      <c r="I39" s="366">
        <v>0</v>
      </c>
      <c r="J39" s="366">
        <v>0</v>
      </c>
      <c r="K39" s="366">
        <v>0</v>
      </c>
      <c r="L39" s="366">
        <v>0</v>
      </c>
      <c r="M39" s="366">
        <v>0</v>
      </c>
      <c r="N39" s="366">
        <v>0</v>
      </c>
      <c r="O39" s="367">
        <f t="shared" si="11"/>
        <v>0</v>
      </c>
      <c r="P39" s="2"/>
    </row>
    <row r="40" spans="1:16" ht="15.75">
      <c r="A40" s="2"/>
      <c r="B40" s="376" t="s">
        <v>335</v>
      </c>
      <c r="C40" s="366">
        <v>-32.341089779999997</v>
      </c>
      <c r="D40" s="366">
        <v>-33.386262209999998</v>
      </c>
      <c r="E40" s="366">
        <v>-32.646765860000002</v>
      </c>
      <c r="F40" s="366">
        <v>-32.853079410000007</v>
      </c>
      <c r="G40" s="366">
        <v>-32.011561119999996</v>
      </c>
      <c r="H40" s="366">
        <v>-33.513907180000004</v>
      </c>
      <c r="I40" s="366">
        <v>-33.423585020000004</v>
      </c>
      <c r="J40" s="366">
        <v>-32.540991990000002</v>
      </c>
      <c r="K40" s="366">
        <v>-33.597805129999998</v>
      </c>
      <c r="L40" s="366">
        <v>-33.260076999999995</v>
      </c>
      <c r="M40" s="366">
        <v>-34.568478560000003</v>
      </c>
      <c r="N40" s="366">
        <v>-55.202965379999995</v>
      </c>
      <c r="O40" s="367">
        <f t="shared" si="11"/>
        <v>-419.34656863999999</v>
      </c>
      <c r="P40" s="2"/>
    </row>
    <row r="41" spans="1:16" ht="15.75">
      <c r="A41" s="2"/>
      <c r="B41" s="376" t="s">
        <v>336</v>
      </c>
      <c r="C41" s="366">
        <v>42.648558579999985</v>
      </c>
      <c r="D41" s="366">
        <v>-3.1282010839999685</v>
      </c>
      <c r="E41" s="366">
        <v>7.9200519720000244</v>
      </c>
      <c r="F41" s="366">
        <v>-73.347588747000145</v>
      </c>
      <c r="G41" s="366">
        <v>83.053037019999934</v>
      </c>
      <c r="H41" s="366">
        <v>1.2427342699999855</v>
      </c>
      <c r="I41" s="366">
        <v>-35.688876720999971</v>
      </c>
      <c r="J41" s="366">
        <v>-8.8860599200000649</v>
      </c>
      <c r="K41" s="366">
        <v>16.028099970000113</v>
      </c>
      <c r="L41" s="366">
        <v>-1.7778512424998638</v>
      </c>
      <c r="M41" s="366">
        <v>-2.7402213294999882</v>
      </c>
      <c r="N41" s="366">
        <v>-8.4848408800001209</v>
      </c>
      <c r="O41" s="367">
        <f t="shared" si="11"/>
        <v>16.838841887999919</v>
      </c>
      <c r="P41" s="2"/>
    </row>
    <row r="42" spans="1:16" ht="24.95" customHeight="1" thickBot="1">
      <c r="A42" s="2"/>
      <c r="B42" s="377" t="s">
        <v>337</v>
      </c>
      <c r="C42" s="378">
        <f t="shared" ref="C42:N42" si="16">-C28-C31-C34</f>
        <v>0</v>
      </c>
      <c r="D42" s="378">
        <f t="shared" si="16"/>
        <v>0</v>
      </c>
      <c r="E42" s="378">
        <f t="shared" si="16"/>
        <v>0</v>
      </c>
      <c r="F42" s="378">
        <f t="shared" si="16"/>
        <v>0</v>
      </c>
      <c r="G42" s="378">
        <f t="shared" si="16"/>
        <v>0</v>
      </c>
      <c r="H42" s="378">
        <f t="shared" si="16"/>
        <v>-3.0000000003838068E-4</v>
      </c>
      <c r="I42" s="378">
        <f t="shared" si="16"/>
        <v>0</v>
      </c>
      <c r="J42" s="378">
        <f t="shared" si="16"/>
        <v>0</v>
      </c>
      <c r="K42" s="378">
        <f t="shared" si="16"/>
        <v>0</v>
      </c>
      <c r="L42" s="378">
        <f t="shared" si="16"/>
        <v>0</v>
      </c>
      <c r="M42" s="378">
        <f t="shared" si="16"/>
        <v>0</v>
      </c>
      <c r="N42" s="378">
        <f t="shared" si="16"/>
        <v>0</v>
      </c>
      <c r="O42" s="379">
        <f t="shared" si="11"/>
        <v>-3.0000000003838068E-4</v>
      </c>
      <c r="P42" s="2"/>
    </row>
    <row r="43" spans="1:16" ht="15.75">
      <c r="A43" s="2"/>
      <c r="B43" s="48" t="s">
        <v>338</v>
      </c>
      <c r="C43" s="380"/>
      <c r="D43" s="380"/>
      <c r="E43" s="380"/>
      <c r="F43" s="380"/>
      <c r="G43" s="380"/>
      <c r="H43" s="380"/>
      <c r="I43" s="380"/>
      <c r="J43" s="380"/>
      <c r="K43" s="380"/>
      <c r="L43" s="380"/>
      <c r="M43" s="380"/>
      <c r="N43" s="380"/>
      <c r="O43" s="268"/>
      <c r="P43" s="2"/>
    </row>
    <row r="44" spans="1:16" ht="15.75">
      <c r="A44" s="2"/>
      <c r="B44" s="48" t="s">
        <v>356</v>
      </c>
      <c r="C44" s="380"/>
      <c r="D44" s="380"/>
      <c r="E44" s="380"/>
      <c r="F44" s="380"/>
      <c r="G44" s="380"/>
      <c r="H44" s="380"/>
      <c r="I44" s="380"/>
      <c r="J44" s="380"/>
      <c r="K44" s="380"/>
      <c r="L44" s="380"/>
      <c r="M44" s="380"/>
      <c r="N44" s="380"/>
      <c r="O44" s="268"/>
      <c r="P44" s="2"/>
    </row>
    <row r="45" spans="1:16">
      <c r="A45" s="2"/>
      <c r="B45" s="329"/>
      <c r="C45" s="268"/>
      <c r="D45" s="268"/>
      <c r="E45" s="268"/>
      <c r="F45" s="268"/>
      <c r="G45" s="268"/>
      <c r="H45" s="268"/>
      <c r="I45" s="268"/>
      <c r="J45" s="268"/>
      <c r="K45" s="268"/>
      <c r="L45" s="268"/>
      <c r="M45" s="268"/>
      <c r="N45" s="268"/>
      <c r="O45" s="268"/>
      <c r="P45" s="329"/>
    </row>
    <row r="46" spans="1:16" ht="16.5" thickBot="1">
      <c r="A46" s="2"/>
      <c r="B46" s="353" t="s">
        <v>340</v>
      </c>
      <c r="C46" s="268"/>
      <c r="D46" s="268"/>
      <c r="E46" s="268"/>
      <c r="F46" s="268"/>
      <c r="G46" s="268"/>
      <c r="H46" s="268"/>
      <c r="I46" s="268"/>
      <c r="J46" s="268"/>
      <c r="K46" s="268"/>
      <c r="L46" s="268"/>
      <c r="M46" s="268"/>
      <c r="N46" s="268"/>
      <c r="O46" s="268"/>
      <c r="P46" s="329"/>
    </row>
    <row r="47" spans="1:16" ht="24.95" customHeight="1" thickBot="1">
      <c r="A47" s="2"/>
      <c r="B47" s="407" t="s">
        <v>357</v>
      </c>
      <c r="C47" s="413">
        <v>32.341089779999997</v>
      </c>
      <c r="D47" s="414">
        <v>33.386262209999998</v>
      </c>
      <c r="E47" s="414">
        <v>32.646765860000002</v>
      </c>
      <c r="F47" s="414">
        <v>32.853079410000007</v>
      </c>
      <c r="G47" s="414">
        <v>32.011561119999996</v>
      </c>
      <c r="H47" s="414">
        <v>33.513907180000004</v>
      </c>
      <c r="I47" s="414">
        <v>33.423585020000004</v>
      </c>
      <c r="J47" s="414">
        <v>32.540991990000002</v>
      </c>
      <c r="K47" s="414">
        <v>33.597805129999998</v>
      </c>
      <c r="L47" s="414">
        <v>33.260076999999995</v>
      </c>
      <c r="M47" s="414">
        <v>34.568478560000003</v>
      </c>
      <c r="N47" s="415">
        <v>55.202965379999995</v>
      </c>
      <c r="O47" s="416">
        <f>SUM(C47:N47)</f>
        <v>419.34656863999999</v>
      </c>
      <c r="P47" s="329"/>
    </row>
    <row r="48" spans="1:16" ht="15.75">
      <c r="B48" s="353" t="s">
        <v>18</v>
      </c>
      <c r="C48" s="268"/>
      <c r="D48" s="268"/>
      <c r="E48" s="268"/>
      <c r="F48" s="268"/>
      <c r="G48" s="268"/>
      <c r="H48" s="268"/>
      <c r="I48" s="268"/>
      <c r="J48" s="268"/>
      <c r="K48" s="268"/>
      <c r="L48" s="268"/>
      <c r="M48" s="268"/>
      <c r="N48" s="268"/>
      <c r="O48" s="268"/>
    </row>
    <row r="49" spans="2:15" ht="15.75">
      <c r="B49" s="353" t="s">
        <v>509</v>
      </c>
      <c r="C49" s="268"/>
      <c r="D49" s="268"/>
      <c r="E49" s="268"/>
      <c r="F49" s="268"/>
      <c r="G49" s="268"/>
      <c r="H49" s="268"/>
      <c r="I49" s="268"/>
      <c r="J49" s="268"/>
      <c r="K49" s="268"/>
      <c r="L49" s="268"/>
      <c r="M49" s="268"/>
      <c r="N49" s="268"/>
      <c r="O49" s="268"/>
    </row>
    <row r="50" spans="2:15" ht="15.75">
      <c r="B50" s="353" t="s">
        <v>55</v>
      </c>
      <c r="C50" s="2"/>
      <c r="D50" s="2"/>
      <c r="E50" s="2"/>
      <c r="F50" s="2"/>
      <c r="G50" s="2"/>
      <c r="H50" s="2"/>
      <c r="I50" s="2"/>
      <c r="J50" s="2"/>
      <c r="K50" s="2"/>
      <c r="L50" s="2"/>
      <c r="M50" s="2"/>
      <c r="N50" s="2"/>
      <c r="O50" s="2"/>
    </row>
    <row r="51" spans="2:15" ht="15.75" thickBot="1">
      <c r="B51" s="2"/>
      <c r="C51" s="2"/>
      <c r="D51" s="2"/>
      <c r="E51" s="2"/>
      <c r="F51" s="2"/>
      <c r="G51" s="2"/>
      <c r="H51" s="2"/>
      <c r="I51" s="2"/>
      <c r="J51" s="2"/>
      <c r="K51" s="2"/>
      <c r="L51" s="2"/>
      <c r="M51" s="2"/>
      <c r="N51" s="2"/>
      <c r="O51" s="2"/>
    </row>
    <row r="52" spans="2:15" ht="31.5">
      <c r="B52" s="355" t="s">
        <v>238</v>
      </c>
      <c r="C52" s="356" t="s">
        <v>59</v>
      </c>
      <c r="D52" s="356" t="s">
        <v>60</v>
      </c>
      <c r="E52" s="356" t="s">
        <v>61</v>
      </c>
      <c r="F52" s="356" t="s">
        <v>62</v>
      </c>
      <c r="G52" s="356" t="s">
        <v>63</v>
      </c>
      <c r="H52" s="356" t="s">
        <v>64</v>
      </c>
      <c r="I52" s="356" t="s">
        <v>65</v>
      </c>
      <c r="J52" s="356" t="s">
        <v>66</v>
      </c>
      <c r="K52" s="356" t="s">
        <v>67</v>
      </c>
      <c r="L52" s="356" t="s">
        <v>68</v>
      </c>
      <c r="M52" s="356" t="s">
        <v>69</v>
      </c>
      <c r="N52" s="356" t="s">
        <v>70</v>
      </c>
      <c r="O52" s="357" t="s">
        <v>508</v>
      </c>
    </row>
    <row r="53" spans="2:15" ht="15.75">
      <c r="B53" s="358"/>
      <c r="C53" s="359"/>
      <c r="D53" s="359"/>
      <c r="E53" s="359"/>
      <c r="F53" s="359"/>
      <c r="G53" s="359"/>
      <c r="H53" s="359"/>
      <c r="I53" s="359"/>
      <c r="J53" s="359"/>
      <c r="K53" s="359"/>
      <c r="L53" s="359"/>
      <c r="M53" s="359"/>
      <c r="N53" s="359"/>
      <c r="O53" s="360"/>
    </row>
    <row r="54" spans="2:15" ht="24.95" customHeight="1">
      <c r="B54" s="390" t="s">
        <v>239</v>
      </c>
      <c r="C54" s="391">
        <f t="shared" ref="C54:O69" si="17">C7/$O$89</f>
        <v>1.9210258105362581E-2</v>
      </c>
      <c r="D54" s="391">
        <f t="shared" si="17"/>
        <v>1.6534594040722612E-2</v>
      </c>
      <c r="E54" s="391">
        <f t="shared" si="17"/>
        <v>1.7142040401287747E-2</v>
      </c>
      <c r="F54" s="391">
        <f t="shared" si="17"/>
        <v>2.990184239005151E-2</v>
      </c>
      <c r="G54" s="391">
        <f t="shared" si="17"/>
        <v>1.7077319515667853E-2</v>
      </c>
      <c r="H54" s="391">
        <f t="shared" si="17"/>
        <v>1.8492744535598973E-2</v>
      </c>
      <c r="I54" s="391">
        <f t="shared" si="17"/>
        <v>1.7286054917037424E-2</v>
      </c>
      <c r="J54" s="391">
        <f t="shared" si="17"/>
        <v>1.6942922246407137E-2</v>
      </c>
      <c r="K54" s="391">
        <f t="shared" si="17"/>
        <v>1.5768278230069457E-2</v>
      </c>
      <c r="L54" s="391">
        <f t="shared" si="17"/>
        <v>1.7452285087778768E-2</v>
      </c>
      <c r="M54" s="391">
        <f t="shared" si="17"/>
        <v>1.6620416337302411E-2</v>
      </c>
      <c r="N54" s="391">
        <f t="shared" si="17"/>
        <v>2.010966754371404E-2</v>
      </c>
      <c r="O54" s="392">
        <f t="shared" si="17"/>
        <v>0.22253842335100052</v>
      </c>
    </row>
    <row r="55" spans="2:15" ht="21" customHeight="1">
      <c r="B55" s="376" t="s">
        <v>240</v>
      </c>
      <c r="C55" s="393">
        <f t="shared" si="17"/>
        <v>1.8623401658550042E-2</v>
      </c>
      <c r="D55" s="393">
        <f t="shared" si="17"/>
        <v>1.5964191233298182E-2</v>
      </c>
      <c r="E55" s="393">
        <f t="shared" si="17"/>
        <v>1.6296722021869291E-2</v>
      </c>
      <c r="F55" s="393">
        <f t="shared" si="17"/>
        <v>2.9076513046995371E-2</v>
      </c>
      <c r="G55" s="393">
        <f t="shared" si="17"/>
        <v>1.5956510019802535E-2</v>
      </c>
      <c r="H55" s="393">
        <f t="shared" si="17"/>
        <v>1.762039311657311E-2</v>
      </c>
      <c r="I55" s="393">
        <f t="shared" si="17"/>
        <v>1.6546482203388637E-2</v>
      </c>
      <c r="J55" s="393">
        <f t="shared" si="17"/>
        <v>1.6500618249193987E-2</v>
      </c>
      <c r="K55" s="393">
        <f t="shared" si="17"/>
        <v>1.5259987116428151E-2</v>
      </c>
      <c r="L55" s="393">
        <f t="shared" si="17"/>
        <v>1.6625393526651589E-2</v>
      </c>
      <c r="M55" s="393">
        <f t="shared" si="17"/>
        <v>1.6124318629206283E-2</v>
      </c>
      <c r="N55" s="393">
        <f t="shared" si="17"/>
        <v>1.9613396392057475E-2</v>
      </c>
      <c r="O55" s="394">
        <f t="shared" si="17"/>
        <v>0.21420792721401463</v>
      </c>
    </row>
    <row r="56" spans="2:15" ht="18.75">
      <c r="B56" s="371" t="s">
        <v>351</v>
      </c>
      <c r="C56" s="393">
        <f t="shared" si="17"/>
        <v>1.5455639019645893E-2</v>
      </c>
      <c r="D56" s="393">
        <f t="shared" si="17"/>
        <v>1.2734209389721848E-2</v>
      </c>
      <c r="E56" s="393">
        <f t="shared" si="17"/>
        <v>1.3471757319106055E-2</v>
      </c>
      <c r="F56" s="393">
        <f t="shared" si="17"/>
        <v>2.6443242747759652E-2</v>
      </c>
      <c r="G56" s="393">
        <f t="shared" si="17"/>
        <v>1.3163600020106471E-2</v>
      </c>
      <c r="H56" s="393">
        <f t="shared" si="17"/>
        <v>1.2464861248518318E-2</v>
      </c>
      <c r="I56" s="393">
        <f t="shared" si="17"/>
        <v>1.3729431237038922E-2</v>
      </c>
      <c r="J56" s="393">
        <f t="shared" si="17"/>
        <v>1.2842193746419995E-2</v>
      </c>
      <c r="K56" s="393">
        <f t="shared" si="17"/>
        <v>1.2257738967509342E-2</v>
      </c>
      <c r="L56" s="393">
        <f t="shared" si="17"/>
        <v>1.3303826410550749E-2</v>
      </c>
      <c r="M56" s="393">
        <f t="shared" si="17"/>
        <v>1.300794928961033E-2</v>
      </c>
      <c r="N56" s="393">
        <f t="shared" si="17"/>
        <v>1.3450597518955023E-2</v>
      </c>
      <c r="O56" s="394">
        <f t="shared" si="17"/>
        <v>0.1723250469149426</v>
      </c>
    </row>
    <row r="57" spans="2:15" ht="15.75">
      <c r="B57" s="371" t="s">
        <v>317</v>
      </c>
      <c r="C57" s="393">
        <f t="shared" si="17"/>
        <v>2.1221030288294056E-3</v>
      </c>
      <c r="D57" s="393">
        <f t="shared" si="17"/>
        <v>2.3696919113538432E-3</v>
      </c>
      <c r="E57" s="393">
        <f t="shared" si="17"/>
        <v>2.4304951522363771E-3</v>
      </c>
      <c r="F57" s="393">
        <f t="shared" si="17"/>
        <v>2.1564567535531168E-3</v>
      </c>
      <c r="G57" s="393">
        <f t="shared" si="17"/>
        <v>2.2834620551151095E-3</v>
      </c>
      <c r="H57" s="393">
        <f t="shared" si="17"/>
        <v>4.6388609885369735E-3</v>
      </c>
      <c r="I57" s="393">
        <f t="shared" si="17"/>
        <v>2.2153013777608407E-3</v>
      </c>
      <c r="J57" s="393">
        <f t="shared" si="17"/>
        <v>3.2419549105378947E-3</v>
      </c>
      <c r="K57" s="393">
        <f t="shared" si="17"/>
        <v>2.2389264790530321E-3</v>
      </c>
      <c r="L57" s="393">
        <f t="shared" si="17"/>
        <v>2.1382325935243134E-3</v>
      </c>
      <c r="M57" s="393">
        <f t="shared" si="17"/>
        <v>2.2058460176329069E-3</v>
      </c>
      <c r="N57" s="393">
        <f t="shared" si="17"/>
        <v>6.2738890029294643E-3</v>
      </c>
      <c r="O57" s="394">
        <f t="shared" si="17"/>
        <v>3.4315220271063276E-2</v>
      </c>
    </row>
    <row r="58" spans="2:15" ht="15.75">
      <c r="B58" s="371" t="s">
        <v>318</v>
      </c>
      <c r="C58" s="393">
        <f t="shared" si="17"/>
        <v>1.0456596100747446E-3</v>
      </c>
      <c r="D58" s="393">
        <f t="shared" si="17"/>
        <v>8.6028993222248961E-4</v>
      </c>
      <c r="E58" s="393">
        <f t="shared" si="17"/>
        <v>3.9446955052685934E-4</v>
      </c>
      <c r="F58" s="393">
        <f t="shared" si="17"/>
        <v>4.7681354568260325E-4</v>
      </c>
      <c r="G58" s="393">
        <f t="shared" si="17"/>
        <v>5.0944794458095545E-4</v>
      </c>
      <c r="H58" s="393">
        <f t="shared" si="17"/>
        <v>5.1667087951781871E-4</v>
      </c>
      <c r="I58" s="393">
        <f t="shared" si="17"/>
        <v>6.0174958858887604E-4</v>
      </c>
      <c r="J58" s="393">
        <f t="shared" si="17"/>
        <v>4.1646959223609663E-4</v>
      </c>
      <c r="K58" s="393">
        <f t="shared" si="17"/>
        <v>7.633216698657775E-4</v>
      </c>
      <c r="L58" s="393">
        <f t="shared" si="17"/>
        <v>1.1833345225765275E-3</v>
      </c>
      <c r="M58" s="393">
        <f t="shared" si="17"/>
        <v>9.1052332196304617E-4</v>
      </c>
      <c r="N58" s="393">
        <f t="shared" si="17"/>
        <v>-1.1109012982701366E-4</v>
      </c>
      <c r="O58" s="394">
        <f t="shared" si="17"/>
        <v>7.5676600280087805E-3</v>
      </c>
    </row>
    <row r="59" spans="2:15" ht="21" customHeight="1">
      <c r="B59" s="376" t="s">
        <v>244</v>
      </c>
      <c r="C59" s="393">
        <f t="shared" si="17"/>
        <v>4.6759234364296518E-7</v>
      </c>
      <c r="D59" s="393">
        <f t="shared" si="17"/>
        <v>0</v>
      </c>
      <c r="E59" s="393">
        <f t="shared" si="17"/>
        <v>1.1222216247431163E-6</v>
      </c>
      <c r="F59" s="393">
        <f t="shared" si="17"/>
        <v>1.5477306574582148E-8</v>
      </c>
      <c r="G59" s="393">
        <f t="shared" si="17"/>
        <v>0</v>
      </c>
      <c r="H59" s="393">
        <f t="shared" si="17"/>
        <v>6.6093382866948937E-6</v>
      </c>
      <c r="I59" s="393">
        <f t="shared" si="17"/>
        <v>0</v>
      </c>
      <c r="J59" s="393">
        <f t="shared" si="17"/>
        <v>0</v>
      </c>
      <c r="K59" s="393">
        <f t="shared" si="17"/>
        <v>0</v>
      </c>
      <c r="L59" s="393">
        <f t="shared" si="17"/>
        <v>4.9270205249659242E-8</v>
      </c>
      <c r="M59" s="393">
        <f t="shared" si="17"/>
        <v>0</v>
      </c>
      <c r="N59" s="393">
        <f t="shared" si="17"/>
        <v>0</v>
      </c>
      <c r="O59" s="394">
        <f t="shared" si="17"/>
        <v>8.2638997669052156E-6</v>
      </c>
    </row>
    <row r="60" spans="2:15" ht="21" customHeight="1">
      <c r="B60" s="376" t="s">
        <v>245</v>
      </c>
      <c r="C60" s="393">
        <f t="shared" si="17"/>
        <v>5.8638885446889676E-4</v>
      </c>
      <c r="D60" s="393">
        <f t="shared" si="17"/>
        <v>5.7040280742443115E-4</v>
      </c>
      <c r="E60" s="393">
        <f t="shared" si="17"/>
        <v>8.4419615779371231E-4</v>
      </c>
      <c r="F60" s="393">
        <f t="shared" si="17"/>
        <v>8.2531386574956204E-4</v>
      </c>
      <c r="G60" s="393">
        <f t="shared" si="17"/>
        <v>1.1208094958653147E-3</v>
      </c>
      <c r="H60" s="393">
        <f t="shared" si="17"/>
        <v>8.6574208073916976E-4</v>
      </c>
      <c r="I60" s="393">
        <f t="shared" si="17"/>
        <v>7.3957271364878674E-4</v>
      </c>
      <c r="J60" s="393">
        <f t="shared" si="17"/>
        <v>4.4230399721314958E-4</v>
      </c>
      <c r="K60" s="393">
        <f t="shared" si="17"/>
        <v>5.0829111364130526E-4</v>
      </c>
      <c r="L60" s="393">
        <f t="shared" si="17"/>
        <v>8.2684229092192842E-4</v>
      </c>
      <c r="M60" s="393">
        <f t="shared" si="17"/>
        <v>4.9609770809612755E-4</v>
      </c>
      <c r="N60" s="393">
        <f t="shared" si="17"/>
        <v>4.962711516565628E-4</v>
      </c>
      <c r="O60" s="394">
        <f t="shared" si="17"/>
        <v>8.3222322372189482E-3</v>
      </c>
    </row>
    <row r="61" spans="2:15" ht="24.95" customHeight="1">
      <c r="B61" s="390" t="s">
        <v>246</v>
      </c>
      <c r="C61" s="391">
        <f t="shared" si="17"/>
        <v>2.0537453776860257E-2</v>
      </c>
      <c r="D61" s="391">
        <f t="shared" si="17"/>
        <v>1.6862904337620374E-2</v>
      </c>
      <c r="E61" s="391">
        <f t="shared" si="17"/>
        <v>2.0832102154431723E-2</v>
      </c>
      <c r="F61" s="391">
        <f t="shared" si="17"/>
        <v>1.7184476017562768E-2</v>
      </c>
      <c r="G61" s="391">
        <f t="shared" si="17"/>
        <v>2.5767889620618947E-2</v>
      </c>
      <c r="H61" s="391">
        <f t="shared" si="17"/>
        <v>2.1884691221655133E-2</v>
      </c>
      <c r="I61" s="391">
        <f t="shared" si="17"/>
        <v>2.0163182848853111E-2</v>
      </c>
      <c r="J61" s="391">
        <f t="shared" si="17"/>
        <v>1.5668499866034788E-2</v>
      </c>
      <c r="K61" s="391">
        <f t="shared" si="17"/>
        <v>1.7317419889975521E-2</v>
      </c>
      <c r="L61" s="391">
        <f t="shared" si="17"/>
        <v>1.7868905780493452E-2</v>
      </c>
      <c r="M61" s="391">
        <f t="shared" si="17"/>
        <v>2.0860951508452897E-2</v>
      </c>
      <c r="N61" s="391">
        <f t="shared" si="17"/>
        <v>2.6039007943926322E-2</v>
      </c>
      <c r="O61" s="392">
        <f t="shared" si="17"/>
        <v>0.24098748496648531</v>
      </c>
    </row>
    <row r="62" spans="2:15" ht="21" customHeight="1">
      <c r="B62" s="376" t="s">
        <v>247</v>
      </c>
      <c r="C62" s="393">
        <f t="shared" si="17"/>
        <v>1.8103615499751008E-2</v>
      </c>
      <c r="D62" s="393">
        <f t="shared" si="17"/>
        <v>1.4923307591595493E-2</v>
      </c>
      <c r="E62" s="393">
        <f t="shared" si="17"/>
        <v>1.6380266801644987E-2</v>
      </c>
      <c r="F62" s="393">
        <f t="shared" si="17"/>
        <v>1.4488407208730883E-2</v>
      </c>
      <c r="G62" s="393">
        <f t="shared" si="17"/>
        <v>2.1236904591990607E-2</v>
      </c>
      <c r="H62" s="393">
        <f t="shared" si="17"/>
        <v>1.8584334968659619E-2</v>
      </c>
      <c r="I62" s="393">
        <f t="shared" si="17"/>
        <v>1.7038643552626347E-2</v>
      </c>
      <c r="J62" s="393">
        <f t="shared" si="17"/>
        <v>1.4153534564192242E-2</v>
      </c>
      <c r="K62" s="393">
        <f t="shared" si="17"/>
        <v>1.4427723943299751E-2</v>
      </c>
      <c r="L62" s="393">
        <f t="shared" si="17"/>
        <v>1.4813488150391727E-2</v>
      </c>
      <c r="M62" s="393">
        <f t="shared" si="17"/>
        <v>1.7463165936014661E-2</v>
      </c>
      <c r="N62" s="393">
        <f t="shared" si="17"/>
        <v>2.2742420722289887E-2</v>
      </c>
      <c r="O62" s="394">
        <f t="shared" si="17"/>
        <v>0.20435581353118723</v>
      </c>
    </row>
    <row r="63" spans="2:15" ht="15.75">
      <c r="B63" s="371" t="s">
        <v>321</v>
      </c>
      <c r="C63" s="393">
        <f t="shared" si="17"/>
        <v>1.0611258977889896E-2</v>
      </c>
      <c r="D63" s="393">
        <f t="shared" si="17"/>
        <v>1.0348469353296409E-2</v>
      </c>
      <c r="E63" s="393">
        <f t="shared" si="17"/>
        <v>1.0075874729205583E-2</v>
      </c>
      <c r="F63" s="393">
        <f t="shared" si="17"/>
        <v>1.0471014246463248E-2</v>
      </c>
      <c r="G63" s="393">
        <f t="shared" si="17"/>
        <v>1.4148794968238787E-2</v>
      </c>
      <c r="H63" s="393">
        <f t="shared" si="17"/>
        <v>1.1259924588109592E-2</v>
      </c>
      <c r="I63" s="393">
        <f t="shared" si="17"/>
        <v>1.0003127768205123E-2</v>
      </c>
      <c r="J63" s="393">
        <f t="shared" si="17"/>
        <v>9.3370316550664776E-3</v>
      </c>
      <c r="K63" s="393">
        <f t="shared" si="17"/>
        <v>1.0247115784280947E-2</v>
      </c>
      <c r="L63" s="393">
        <f t="shared" si="17"/>
        <v>9.3288586967500003E-3</v>
      </c>
      <c r="M63" s="393">
        <f t="shared" si="17"/>
        <v>1.1764026588352742E-2</v>
      </c>
      <c r="N63" s="393">
        <f t="shared" si="17"/>
        <v>1.7756628053670245E-2</v>
      </c>
      <c r="O63" s="394">
        <f t="shared" si="17"/>
        <v>0.13535212540952907</v>
      </c>
    </row>
    <row r="64" spans="2:15" ht="15.75">
      <c r="B64" s="395" t="s">
        <v>322</v>
      </c>
      <c r="C64" s="393">
        <f t="shared" si="17"/>
        <v>7.1008740446971514E-3</v>
      </c>
      <c r="D64" s="393">
        <f t="shared" si="17"/>
        <v>6.8500146936685659E-3</v>
      </c>
      <c r="E64" s="393">
        <f t="shared" si="17"/>
        <v>6.6446492095117628E-3</v>
      </c>
      <c r="F64" s="393">
        <f t="shared" si="17"/>
        <v>7.6401497965271912E-3</v>
      </c>
      <c r="G64" s="393">
        <f t="shared" si="17"/>
        <v>8.5129783125527485E-3</v>
      </c>
      <c r="H64" s="393">
        <f t="shared" si="17"/>
        <v>8.0841461831138352E-3</v>
      </c>
      <c r="I64" s="393">
        <f t="shared" si="17"/>
        <v>7.0566197710200292E-3</v>
      </c>
      <c r="J64" s="393">
        <f t="shared" si="17"/>
        <v>6.8805094580370926E-3</v>
      </c>
      <c r="K64" s="393">
        <f t="shared" si="17"/>
        <v>7.1596687562277446E-3</v>
      </c>
      <c r="L64" s="393">
        <f t="shared" si="17"/>
        <v>6.9877700244433908E-3</v>
      </c>
      <c r="M64" s="393">
        <f t="shared" si="17"/>
        <v>7.5893240839398392E-3</v>
      </c>
      <c r="N64" s="393">
        <f t="shared" si="17"/>
        <v>1.2844151030316346E-2</v>
      </c>
      <c r="O64" s="394">
        <f t="shared" si="17"/>
        <v>9.3350855364055699E-2</v>
      </c>
    </row>
    <row r="65" spans="2:16" ht="15.75">
      <c r="B65" s="395" t="s">
        <v>323</v>
      </c>
      <c r="C65" s="393">
        <f t="shared" si="17"/>
        <v>3.5103849331927436E-3</v>
      </c>
      <c r="D65" s="393">
        <f t="shared" si="17"/>
        <v>3.498454659627843E-3</v>
      </c>
      <c r="E65" s="393">
        <f t="shared" si="17"/>
        <v>3.4312255196938201E-3</v>
      </c>
      <c r="F65" s="393">
        <f t="shared" si="17"/>
        <v>2.8308644499360561E-3</v>
      </c>
      <c r="G65" s="393">
        <f t="shared" si="17"/>
        <v>5.6358166556860385E-3</v>
      </c>
      <c r="H65" s="393">
        <f t="shared" si="17"/>
        <v>3.1757784049957559E-3</v>
      </c>
      <c r="I65" s="393">
        <f t="shared" si="17"/>
        <v>2.9465079971850942E-3</v>
      </c>
      <c r="J65" s="393">
        <f t="shared" si="17"/>
        <v>2.456522197029385E-3</v>
      </c>
      <c r="K65" s="393">
        <f t="shared" si="17"/>
        <v>3.0874470280532027E-3</v>
      </c>
      <c r="L65" s="393">
        <f t="shared" si="17"/>
        <v>2.3410886723066095E-3</v>
      </c>
      <c r="M65" s="393">
        <f t="shared" si="17"/>
        <v>4.1747025044129018E-3</v>
      </c>
      <c r="N65" s="393">
        <f t="shared" si="17"/>
        <v>4.9124770233538988E-3</v>
      </c>
      <c r="O65" s="394">
        <f t="shared" si="17"/>
        <v>4.2001270045473348E-2</v>
      </c>
    </row>
    <row r="66" spans="2:16" ht="15.75">
      <c r="B66" s="371" t="s">
        <v>352</v>
      </c>
      <c r="C66" s="393">
        <f t="shared" si="17"/>
        <v>3.7014760613761711E-3</v>
      </c>
      <c r="D66" s="393">
        <f t="shared" si="17"/>
        <v>1.4384848118992896E-3</v>
      </c>
      <c r="E66" s="393">
        <f t="shared" si="17"/>
        <v>2.6724308854094818E-3</v>
      </c>
      <c r="F66" s="393">
        <f t="shared" si="17"/>
        <v>4.029084903079796E-4</v>
      </c>
      <c r="G66" s="393">
        <f t="shared" si="17"/>
        <v>1.1395280665290385E-3</v>
      </c>
      <c r="H66" s="393">
        <f t="shared" si="17"/>
        <v>3.1447285266399047E-3</v>
      </c>
      <c r="I66" s="393">
        <f t="shared" si="17"/>
        <v>3.437935939381328E-3</v>
      </c>
      <c r="J66" s="393">
        <f t="shared" si="17"/>
        <v>1.4012859864912571E-3</v>
      </c>
      <c r="K66" s="393">
        <f t="shared" si="17"/>
        <v>1.1890373480032638E-3</v>
      </c>
      <c r="L66" s="393">
        <f t="shared" si="17"/>
        <v>2.1166325275937931E-3</v>
      </c>
      <c r="M66" s="393">
        <f t="shared" si="17"/>
        <v>1.8058589563806481E-3</v>
      </c>
      <c r="N66" s="393">
        <f t="shared" si="17"/>
        <v>2.6321027637045465E-3</v>
      </c>
      <c r="O66" s="394">
        <f t="shared" si="17"/>
        <v>2.5082410363716702E-2</v>
      </c>
    </row>
    <row r="67" spans="2:16" ht="15.75">
      <c r="B67" s="371" t="s">
        <v>325</v>
      </c>
      <c r="C67" s="393">
        <f t="shared" si="17"/>
        <v>3.7908804604849396E-3</v>
      </c>
      <c r="D67" s="393">
        <f t="shared" si="17"/>
        <v>3.1363534263997958E-3</v>
      </c>
      <c r="E67" s="393">
        <f t="shared" si="17"/>
        <v>3.6319611870299232E-3</v>
      </c>
      <c r="F67" s="393">
        <f t="shared" si="17"/>
        <v>3.6144844719596561E-3</v>
      </c>
      <c r="G67" s="393">
        <f t="shared" si="17"/>
        <v>5.9485815572227823E-3</v>
      </c>
      <c r="H67" s="393">
        <f t="shared" si="17"/>
        <v>4.1796818539101234E-3</v>
      </c>
      <c r="I67" s="393">
        <f t="shared" si="17"/>
        <v>3.5975798450398971E-3</v>
      </c>
      <c r="J67" s="393">
        <f t="shared" si="17"/>
        <v>3.4152169226345087E-3</v>
      </c>
      <c r="K67" s="393">
        <f t="shared" si="17"/>
        <v>2.9915708110155401E-3</v>
      </c>
      <c r="L67" s="393">
        <f t="shared" si="17"/>
        <v>3.3679969260479322E-3</v>
      </c>
      <c r="M67" s="393">
        <f t="shared" si="17"/>
        <v>3.8932803912812728E-3</v>
      </c>
      <c r="N67" s="393">
        <f t="shared" si="17"/>
        <v>2.3536899049150968E-3</v>
      </c>
      <c r="O67" s="394">
        <f t="shared" si="17"/>
        <v>4.3921277757941468E-2</v>
      </c>
    </row>
    <row r="68" spans="2:16" ht="21" customHeight="1">
      <c r="B68" s="376" t="s">
        <v>259</v>
      </c>
      <c r="C68" s="393">
        <f t="shared" si="17"/>
        <v>2.4338382771092503E-3</v>
      </c>
      <c r="D68" s="393">
        <f t="shared" si="17"/>
        <v>1.9395967460248804E-3</v>
      </c>
      <c r="E68" s="393">
        <f t="shared" si="17"/>
        <v>4.4518353527867342E-3</v>
      </c>
      <c r="F68" s="393">
        <f t="shared" si="17"/>
        <v>2.6960688088318841E-3</v>
      </c>
      <c r="G68" s="393">
        <f t="shared" si="17"/>
        <v>4.5309850286283405E-3</v>
      </c>
      <c r="H68" s="393">
        <f t="shared" si="17"/>
        <v>3.3032412332280468E-3</v>
      </c>
      <c r="I68" s="393">
        <f t="shared" si="17"/>
        <v>3.1329752437909584E-3</v>
      </c>
      <c r="J68" s="393">
        <f t="shared" si="17"/>
        <v>1.5149653018425471E-3</v>
      </c>
      <c r="K68" s="393">
        <f t="shared" si="17"/>
        <v>2.8896959466757702E-3</v>
      </c>
      <c r="L68" s="393">
        <f t="shared" si="17"/>
        <v>3.0554176301017246E-3</v>
      </c>
      <c r="M68" s="393">
        <f t="shared" si="17"/>
        <v>3.3977855724382374E-3</v>
      </c>
      <c r="N68" s="393">
        <f t="shared" si="17"/>
        <v>3.3071219434072986E-3</v>
      </c>
      <c r="O68" s="394">
        <f t="shared" si="17"/>
        <v>3.6653527084865675E-2</v>
      </c>
    </row>
    <row r="69" spans="2:16" ht="15.75">
      <c r="B69" s="371" t="s">
        <v>260</v>
      </c>
      <c r="C69" s="393">
        <f t="shared" si="17"/>
        <v>2.3234007224301706E-3</v>
      </c>
      <c r="D69" s="393">
        <f t="shared" si="17"/>
        <v>1.4497879763304754E-3</v>
      </c>
      <c r="E69" s="393">
        <f t="shared" si="17"/>
        <v>4.1036599645097411E-3</v>
      </c>
      <c r="F69" s="393">
        <f t="shared" si="17"/>
        <v>2.6505013644812182E-3</v>
      </c>
      <c r="G69" s="393">
        <f t="shared" si="17"/>
        <v>3.922437880590943E-3</v>
      </c>
      <c r="H69" s="393">
        <f t="shared" si="17"/>
        <v>3.2120495816217506E-3</v>
      </c>
      <c r="I69" s="393">
        <f t="shared" si="17"/>
        <v>2.9413271495804531E-3</v>
      </c>
      <c r="J69" s="393">
        <f t="shared" si="17"/>
        <v>1.352418156143111E-3</v>
      </c>
      <c r="K69" s="393">
        <f t="shared" si="17"/>
        <v>2.7338526083469919E-3</v>
      </c>
      <c r="L69" s="393">
        <f t="shared" si="17"/>
        <v>2.9144501876214278E-3</v>
      </c>
      <c r="M69" s="393">
        <f t="shared" si="17"/>
        <v>3.1336572725806189E-3</v>
      </c>
      <c r="N69" s="393">
        <f t="shared" si="17"/>
        <v>3.2718865751900179E-3</v>
      </c>
      <c r="O69" s="394">
        <f t="shared" si="17"/>
        <v>3.4009429439426912E-2</v>
      </c>
    </row>
    <row r="70" spans="2:16" ht="15.75">
      <c r="B70" s="371" t="s">
        <v>326</v>
      </c>
      <c r="C70" s="393">
        <f t="shared" ref="C70:O73" si="18">C23/$O$89</f>
        <v>1.1043755467907969E-4</v>
      </c>
      <c r="D70" s="393">
        <f t="shared" si="18"/>
        <v>4.89808769694405E-4</v>
      </c>
      <c r="E70" s="393">
        <f t="shared" si="18"/>
        <v>3.4817538827699231E-4</v>
      </c>
      <c r="F70" s="393">
        <f t="shared" si="18"/>
        <v>4.5567444350666199E-5</v>
      </c>
      <c r="G70" s="393">
        <f t="shared" si="18"/>
        <v>6.0854714803739785E-4</v>
      </c>
      <c r="H70" s="393">
        <f t="shared" si="18"/>
        <v>9.1191651606296591E-5</v>
      </c>
      <c r="I70" s="393">
        <f t="shared" si="18"/>
        <v>1.9164809421050541E-4</v>
      </c>
      <c r="J70" s="393">
        <f t="shared" si="18"/>
        <v>1.6254714569943629E-4</v>
      </c>
      <c r="K70" s="393">
        <f t="shared" si="18"/>
        <v>1.5584333832877821E-4</v>
      </c>
      <c r="L70" s="393">
        <f t="shared" si="18"/>
        <v>1.4096744248029682E-4</v>
      </c>
      <c r="M70" s="393">
        <f t="shared" si="18"/>
        <v>2.641282998576181E-4</v>
      </c>
      <c r="N70" s="393">
        <f t="shared" si="18"/>
        <v>3.5235368217280808E-5</v>
      </c>
      <c r="O70" s="394">
        <f t="shared" si="18"/>
        <v>2.6440976454387534E-3</v>
      </c>
    </row>
    <row r="71" spans="2:16" ht="21" customHeight="1">
      <c r="B71" s="376" t="s">
        <v>327</v>
      </c>
      <c r="C71" s="393">
        <f t="shared" si="18"/>
        <v>0</v>
      </c>
      <c r="D71" s="393">
        <f t="shared" si="18"/>
        <v>0</v>
      </c>
      <c r="E71" s="393">
        <f t="shared" si="18"/>
        <v>0</v>
      </c>
      <c r="F71" s="393">
        <f t="shared" si="18"/>
        <v>0</v>
      </c>
      <c r="G71" s="393">
        <f t="shared" si="18"/>
        <v>0</v>
      </c>
      <c r="H71" s="393">
        <f t="shared" si="18"/>
        <v>-2.8849802325336725E-6</v>
      </c>
      <c r="I71" s="393">
        <f t="shared" si="18"/>
        <v>-8.435947564194584E-6</v>
      </c>
      <c r="J71" s="393">
        <f t="shared" si="18"/>
        <v>0</v>
      </c>
      <c r="K71" s="393">
        <f t="shared" si="18"/>
        <v>0</v>
      </c>
      <c r="L71" s="393">
        <f t="shared" si="18"/>
        <v>0</v>
      </c>
      <c r="M71" s="393">
        <f t="shared" si="18"/>
        <v>0</v>
      </c>
      <c r="N71" s="393">
        <f t="shared" si="18"/>
        <v>-1.0534721770865724E-5</v>
      </c>
      <c r="O71" s="394">
        <f t="shared" si="18"/>
        <v>-2.1855649567593981E-5</v>
      </c>
    </row>
    <row r="72" spans="2:16" ht="24.95" customHeight="1">
      <c r="B72" s="390" t="s">
        <v>269</v>
      </c>
      <c r="C72" s="391">
        <f t="shared" si="18"/>
        <v>5.1978615879903691E-4</v>
      </c>
      <c r="D72" s="391">
        <f t="shared" si="18"/>
        <v>1.0408836417026902E-3</v>
      </c>
      <c r="E72" s="391">
        <f t="shared" si="18"/>
        <v>-8.3544779775696391E-5</v>
      </c>
      <c r="F72" s="391">
        <f t="shared" si="18"/>
        <v>1.458810583826449E-2</v>
      </c>
      <c r="G72" s="391">
        <f t="shared" si="18"/>
        <v>-5.280394572188072E-3</v>
      </c>
      <c r="H72" s="391">
        <f t="shared" si="18"/>
        <v>-9.6394185208650992E-4</v>
      </c>
      <c r="I72" s="391">
        <f t="shared" si="18"/>
        <v>-4.9216134923770903E-4</v>
      </c>
      <c r="J72" s="391">
        <f t="shared" si="18"/>
        <v>2.3470836850017435E-3</v>
      </c>
      <c r="K72" s="391">
        <f t="shared" si="18"/>
        <v>8.3226317312839961E-4</v>
      </c>
      <c r="L72" s="391">
        <f t="shared" si="18"/>
        <v>1.8119053762598637E-3</v>
      </c>
      <c r="M72" s="391">
        <f t="shared" si="18"/>
        <v>-1.3388473068083797E-3</v>
      </c>
      <c r="N72" s="391">
        <f t="shared" si="18"/>
        <v>-3.1290243302324119E-3</v>
      </c>
      <c r="O72" s="392">
        <f t="shared" si="18"/>
        <v>9.8521136828274448E-3</v>
      </c>
    </row>
    <row r="73" spans="2:16" ht="39.950000000000003" customHeight="1">
      <c r="B73" s="396" t="s">
        <v>354</v>
      </c>
      <c r="C73" s="391">
        <f t="shared" si="18"/>
        <v>2.374280389878497E-3</v>
      </c>
      <c r="D73" s="391">
        <f t="shared" si="18"/>
        <v>1.1101745150015295E-3</v>
      </c>
      <c r="E73" s="391">
        <f t="shared" si="18"/>
        <v>-1.0176308677344926E-3</v>
      </c>
      <c r="F73" s="391">
        <f t="shared" si="18"/>
        <v>1.3120274862796722E-2</v>
      </c>
      <c r="G73" s="391">
        <f t="shared" si="18"/>
        <v>-7.5510420384220572E-3</v>
      </c>
      <c r="H73" s="391">
        <f t="shared" si="18"/>
        <v>-2.4721815941625461E-4</v>
      </c>
      <c r="I73" s="391">
        <f t="shared" si="18"/>
        <v>5.6080800756564298E-4</v>
      </c>
      <c r="J73" s="391">
        <f t="shared" si="18"/>
        <v>2.6757083668636039E-3</v>
      </c>
      <c r="K73" s="391">
        <f t="shared" si="18"/>
        <v>-3.6010431190280169E-4</v>
      </c>
      <c r="L73" s="391">
        <f t="shared" si="18"/>
        <v>1.7000118348791085E-3</v>
      </c>
      <c r="M73" s="391">
        <f t="shared" si="18"/>
        <v>-2.4346762147698397E-3</v>
      </c>
      <c r="N73" s="391">
        <f t="shared" si="18"/>
        <v>-3.2972376365077343E-3</v>
      </c>
      <c r="O73" s="392">
        <f t="shared" si="18"/>
        <v>6.6333487482319251E-3</v>
      </c>
    </row>
    <row r="74" spans="2:16" ht="24.95" customHeight="1">
      <c r="B74" s="397" t="s">
        <v>328</v>
      </c>
      <c r="C74" s="359"/>
      <c r="D74" s="359"/>
      <c r="E74" s="359"/>
      <c r="F74" s="359"/>
      <c r="G74" s="359"/>
      <c r="H74" s="359"/>
      <c r="I74" s="359"/>
      <c r="J74" s="359"/>
      <c r="K74" s="359"/>
      <c r="L74" s="359"/>
      <c r="M74" s="359"/>
      <c r="N74" s="359"/>
      <c r="O74" s="398"/>
    </row>
    <row r="75" spans="2:16" ht="21" customHeight="1">
      <c r="B75" s="399" t="s">
        <v>329</v>
      </c>
      <c r="C75" s="391">
        <f t="shared" ref="C75:O88" si="19">C28/$O$89</f>
        <v>-1.3271956714976741E-3</v>
      </c>
      <c r="D75" s="391">
        <f t="shared" si="19"/>
        <v>-3.2831029689776023E-4</v>
      </c>
      <c r="E75" s="391">
        <f t="shared" si="19"/>
        <v>-3.6900617531439744E-3</v>
      </c>
      <c r="F75" s="391">
        <f t="shared" si="19"/>
        <v>1.2717366372488742E-2</v>
      </c>
      <c r="G75" s="391">
        <f t="shared" si="19"/>
        <v>-8.6905701049510963E-3</v>
      </c>
      <c r="H75" s="391">
        <f t="shared" si="19"/>
        <v>-3.3919466860561592E-3</v>
      </c>
      <c r="I75" s="391">
        <f t="shared" si="19"/>
        <v>-2.8771279318156851E-3</v>
      </c>
      <c r="J75" s="391">
        <f t="shared" si="19"/>
        <v>1.2744223803723466E-3</v>
      </c>
      <c r="K75" s="391">
        <f t="shared" si="19"/>
        <v>-1.5491416599060655E-3</v>
      </c>
      <c r="L75" s="391">
        <f t="shared" si="19"/>
        <v>-4.1662069271468437E-4</v>
      </c>
      <c r="M75" s="391">
        <f t="shared" si="19"/>
        <v>-4.240535171150488E-3</v>
      </c>
      <c r="N75" s="391">
        <f t="shared" si="19"/>
        <v>-5.9293404002122817E-3</v>
      </c>
      <c r="O75" s="392">
        <f t="shared" si="19"/>
        <v>-1.844906161548478E-2</v>
      </c>
    </row>
    <row r="76" spans="2:16" ht="21" customHeight="1">
      <c r="B76" s="399" t="s">
        <v>330</v>
      </c>
      <c r="C76" s="391">
        <f t="shared" si="19"/>
        <v>-1.9135845259665707E-3</v>
      </c>
      <c r="D76" s="391">
        <f t="shared" si="19"/>
        <v>-8.987131043221915E-4</v>
      </c>
      <c r="E76" s="391">
        <f t="shared" si="19"/>
        <v>-4.5342579109376871E-3</v>
      </c>
      <c r="F76" s="391">
        <f t="shared" si="19"/>
        <v>1.189205250673918E-2</v>
      </c>
      <c r="G76" s="391">
        <f t="shared" si="19"/>
        <v>-9.8113796008164108E-3</v>
      </c>
      <c r="H76" s="391">
        <f t="shared" si="19"/>
        <v>-4.2576887667953285E-3</v>
      </c>
      <c r="I76" s="391">
        <f t="shared" si="19"/>
        <v>-3.6167006454644718E-3</v>
      </c>
      <c r="J76" s="391">
        <f t="shared" si="19"/>
        <v>8.3211838315919693E-4</v>
      </c>
      <c r="K76" s="391">
        <f t="shared" si="19"/>
        <v>-2.0574327735473708E-3</v>
      </c>
      <c r="L76" s="391">
        <f t="shared" si="19"/>
        <v>-1.2434629836366128E-3</v>
      </c>
      <c r="M76" s="391">
        <f t="shared" si="19"/>
        <v>-4.7366328792466158E-3</v>
      </c>
      <c r="N76" s="391">
        <f t="shared" si="19"/>
        <v>-6.4256115518688435E-3</v>
      </c>
      <c r="O76" s="392">
        <f t="shared" si="19"/>
        <v>-2.6771293852703725E-2</v>
      </c>
    </row>
    <row r="77" spans="2:16" ht="21" customHeight="1">
      <c r="B77" s="399" t="s">
        <v>355</v>
      </c>
      <c r="C77" s="391">
        <f t="shared" si="19"/>
        <v>-2.8394402681174487E-3</v>
      </c>
      <c r="D77" s="391">
        <f t="shared" si="19"/>
        <v>-1.8894263561230063E-3</v>
      </c>
      <c r="E77" s="391">
        <f t="shared" si="19"/>
        <v>-5.2165995292280292E-3</v>
      </c>
      <c r="F77" s="391">
        <f t="shared" si="19"/>
        <v>1.1181181532767707E-2</v>
      </c>
      <c r="G77" s="391">
        <f t="shared" si="19"/>
        <v>-1.0187406193728179E-2</v>
      </c>
      <c r="H77" s="391">
        <f t="shared" si="19"/>
        <v>-4.9590313263490589E-3</v>
      </c>
      <c r="I77" s="391">
        <f t="shared" si="19"/>
        <v>-4.4399891770608556E-3</v>
      </c>
      <c r="J77" s="391">
        <f t="shared" si="19"/>
        <v>-2.4716949053475912E-4</v>
      </c>
      <c r="K77" s="391">
        <f t="shared" si="19"/>
        <v>-3.120149304105699E-3</v>
      </c>
      <c r="L77" s="391">
        <f t="shared" si="19"/>
        <v>-1.9718364281322322E-3</v>
      </c>
      <c r="M77" s="391">
        <f t="shared" si="19"/>
        <v>-5.8569307617546869E-3</v>
      </c>
      <c r="N77" s="391">
        <f t="shared" si="19"/>
        <v>-8.5105887960198485E-3</v>
      </c>
      <c r="O77" s="392">
        <f t="shared" si="19"/>
        <v>-3.8057386098386096E-2</v>
      </c>
    </row>
    <row r="78" spans="2:16" ht="24.95" customHeight="1">
      <c r="B78" s="390" t="s">
        <v>332</v>
      </c>
      <c r="C78" s="391">
        <f t="shared" si="19"/>
        <v>-5.0952228428211719E-5</v>
      </c>
      <c r="D78" s="391">
        <f t="shared" si="19"/>
        <v>-3.7470297365350941E-4</v>
      </c>
      <c r="E78" s="391">
        <f t="shared" si="19"/>
        <v>-3.1598534565595028E-4</v>
      </c>
      <c r="F78" s="391">
        <f t="shared" si="19"/>
        <v>-5.4871743301155196E-4</v>
      </c>
      <c r="G78" s="391">
        <f t="shared" si="19"/>
        <v>3.7970268608421807E-3</v>
      </c>
      <c r="H78" s="391">
        <f t="shared" si="19"/>
        <v>-1.6957408182398419E-4</v>
      </c>
      <c r="I78" s="391">
        <f t="shared" si="19"/>
        <v>-8.1133294211440581E-4</v>
      </c>
      <c r="J78" s="391">
        <f t="shared" si="19"/>
        <v>1.319713927004159E-4</v>
      </c>
      <c r="K78" s="391">
        <f t="shared" si="19"/>
        <v>-8.0165324754572452E-4</v>
      </c>
      <c r="L78" s="391">
        <f t="shared" si="19"/>
        <v>1.3922282645543964E-4</v>
      </c>
      <c r="M78" s="391">
        <f t="shared" si="19"/>
        <v>4.4105114291258588E-3</v>
      </c>
      <c r="N78" s="391">
        <f t="shared" si="19"/>
        <v>3.7254051546912373E-2</v>
      </c>
      <c r="O78" s="392">
        <f t="shared" si="19"/>
        <v>4.2659865803802925E-2</v>
      </c>
    </row>
    <row r="79" spans="2:16" ht="15.75">
      <c r="B79" s="376" t="s">
        <v>276</v>
      </c>
      <c r="C79" s="393">
        <f t="shared" si="19"/>
        <v>7.1166769147321975E-4</v>
      </c>
      <c r="D79" s="393">
        <f t="shared" si="19"/>
        <v>6.3969372701491386E-4</v>
      </c>
      <c r="E79" s="393">
        <f t="shared" si="19"/>
        <v>6.2830822752108254E-4</v>
      </c>
      <c r="F79" s="393">
        <f t="shared" si="19"/>
        <v>2.5605969283858945E-4</v>
      </c>
      <c r="G79" s="393">
        <f t="shared" si="19"/>
        <v>5.3049712080014402E-3</v>
      </c>
      <c r="H79" s="393">
        <f t="shared" si="19"/>
        <v>9.794068591120887E-4</v>
      </c>
      <c r="I79" s="393">
        <f t="shared" si="19"/>
        <v>3.2749980711815821E-5</v>
      </c>
      <c r="J79" s="393">
        <f t="shared" si="19"/>
        <v>1.1887348587754224E-3</v>
      </c>
      <c r="K79" s="393">
        <f t="shared" si="19"/>
        <v>2.5572999347708679E-4</v>
      </c>
      <c r="L79" s="393">
        <f t="shared" si="19"/>
        <v>1.0988420075609682E-3</v>
      </c>
      <c r="M79" s="393">
        <f t="shared" si="19"/>
        <v>6.0218185133836611E-3</v>
      </c>
      <c r="N79" s="393">
        <f t="shared" si="19"/>
        <v>3.9075496524619904E-2</v>
      </c>
      <c r="O79" s="394">
        <f t="shared" si="19"/>
        <v>5.6193479284490193E-2</v>
      </c>
      <c r="P79" s="55"/>
    </row>
    <row r="80" spans="2:16" ht="15.75">
      <c r="B80" s="376" t="s">
        <v>277</v>
      </c>
      <c r="C80" s="393">
        <f t="shared" si="19"/>
        <v>-7.6261991990143147E-4</v>
      </c>
      <c r="D80" s="393">
        <f t="shared" si="19"/>
        <v>-1.0143967006684233E-3</v>
      </c>
      <c r="E80" s="393">
        <f t="shared" si="19"/>
        <v>-9.4429357317703277E-4</v>
      </c>
      <c r="F80" s="393">
        <f t="shared" si="19"/>
        <v>-8.0477712585014141E-4</v>
      </c>
      <c r="G80" s="393">
        <f t="shared" si="19"/>
        <v>-1.5079443471592597E-3</v>
      </c>
      <c r="H80" s="393">
        <f t="shared" si="19"/>
        <v>-1.1489809409360729E-3</v>
      </c>
      <c r="I80" s="393">
        <f t="shared" si="19"/>
        <v>-8.440829228262217E-4</v>
      </c>
      <c r="J80" s="393">
        <f t="shared" si="19"/>
        <v>-1.0567634660750063E-3</v>
      </c>
      <c r="K80" s="393">
        <f t="shared" si="19"/>
        <v>-1.0573832410228111E-3</v>
      </c>
      <c r="L80" s="393">
        <f t="shared" si="19"/>
        <v>-9.5961918110552846E-4</v>
      </c>
      <c r="M80" s="393">
        <f t="shared" si="19"/>
        <v>-1.6113070842578021E-3</v>
      </c>
      <c r="N80" s="393">
        <f t="shared" si="19"/>
        <v>-1.8214449777075347E-3</v>
      </c>
      <c r="O80" s="394">
        <f t="shared" si="19"/>
        <v>-1.3533613480687268E-2</v>
      </c>
      <c r="P80" s="55"/>
    </row>
    <row r="81" spans="2:15" ht="24.95" customHeight="1">
      <c r="B81" s="390" t="s">
        <v>333</v>
      </c>
      <c r="C81" s="391">
        <f t="shared" si="19"/>
        <v>1.3781478999258859E-3</v>
      </c>
      <c r="D81" s="391">
        <f t="shared" si="19"/>
        <v>7.0301327055126938E-4</v>
      </c>
      <c r="E81" s="391">
        <f t="shared" si="19"/>
        <v>4.0060470987999253E-3</v>
      </c>
      <c r="F81" s="391">
        <f t="shared" si="19"/>
        <v>-1.2168648939477191E-2</v>
      </c>
      <c r="G81" s="391">
        <f t="shared" si="19"/>
        <v>4.8935432441089156E-3</v>
      </c>
      <c r="H81" s="391">
        <f t="shared" si="19"/>
        <v>3.5615347956504543E-3</v>
      </c>
      <c r="I81" s="391">
        <f t="shared" si="19"/>
        <v>3.6884608739300917E-3</v>
      </c>
      <c r="J81" s="391">
        <f t="shared" si="19"/>
        <v>-1.4063937730727626E-3</v>
      </c>
      <c r="K81" s="391">
        <f t="shared" si="19"/>
        <v>2.3507949074517902E-3</v>
      </c>
      <c r="L81" s="391">
        <f t="shared" si="19"/>
        <v>2.7739786625924476E-4</v>
      </c>
      <c r="M81" s="391">
        <f t="shared" si="19"/>
        <v>-1.6997625797537141E-4</v>
      </c>
      <c r="N81" s="391">
        <f t="shared" si="19"/>
        <v>-3.1324711146700088E-2</v>
      </c>
      <c r="O81" s="392">
        <f t="shared" si="19"/>
        <v>-2.4210790160547838E-2</v>
      </c>
    </row>
    <row r="82" spans="2:15" ht="15.75">
      <c r="B82" s="376" t="s">
        <v>279</v>
      </c>
      <c r="C82" s="393">
        <f t="shared" si="19"/>
        <v>1.8779443705388766E-3</v>
      </c>
      <c r="D82" s="393">
        <f t="shared" si="19"/>
        <v>1.3706066776862594E-3</v>
      </c>
      <c r="E82" s="393">
        <f t="shared" si="19"/>
        <v>-2.2723585124017178E-3</v>
      </c>
      <c r="F82" s="393">
        <f t="shared" si="19"/>
        <v>1.2382310981639986E-3</v>
      </c>
      <c r="G82" s="393">
        <f t="shared" si="19"/>
        <v>-5.1790527981894824E-3</v>
      </c>
      <c r="H82" s="393">
        <f t="shared" si="19"/>
        <v>3.5230277539435562E-3</v>
      </c>
      <c r="I82" s="393">
        <f t="shared" si="19"/>
        <v>1.5456732511461855E-3</v>
      </c>
      <c r="J82" s="393">
        <f t="shared" si="19"/>
        <v>9.3537172422338759E-4</v>
      </c>
      <c r="K82" s="393">
        <f t="shared" si="19"/>
        <v>-1.4196103553000422E-4</v>
      </c>
      <c r="L82" s="393">
        <f t="shared" si="19"/>
        <v>6.9250426093523138E-5</v>
      </c>
      <c r="M82" s="393">
        <f t="shared" si="19"/>
        <v>-1.0455832396200344E-3</v>
      </c>
      <c r="N82" s="393">
        <f t="shared" si="19"/>
        <v>-3.6486090296757479E-2</v>
      </c>
      <c r="O82" s="394">
        <f t="shared" si="19"/>
        <v>-3.4564940580702933E-2</v>
      </c>
    </row>
    <row r="83" spans="2:15" ht="15.75">
      <c r="B83" s="376" t="s">
        <v>282</v>
      </c>
      <c r="C83" s="393">
        <f t="shared" si="19"/>
        <v>-2.1901557783892845E-3</v>
      </c>
      <c r="D83" s="393">
        <f t="shared" si="19"/>
        <v>1.4050786607220243E-5</v>
      </c>
      <c r="E83" s="393">
        <f t="shared" si="19"/>
        <v>3.7968397364649548E-3</v>
      </c>
      <c r="F83" s="393">
        <f t="shared" si="19"/>
        <v>-8.1260671350383302E-3</v>
      </c>
      <c r="G83" s="393">
        <f t="shared" si="19"/>
        <v>6.0885010785017395E-3</v>
      </c>
      <c r="H83" s="393">
        <f t="shared" si="19"/>
        <v>1.9514985983919496E-3</v>
      </c>
      <c r="I83" s="393">
        <f t="shared" si="19"/>
        <v>2.4047920686986676E-3</v>
      </c>
      <c r="J83" s="393">
        <f t="shared" si="19"/>
        <v>-1.585137669473E-3</v>
      </c>
      <c r="K83" s="393">
        <f t="shared" si="19"/>
        <v>1.0780358203790769E-3</v>
      </c>
      <c r="L83" s="393">
        <f t="shared" si="19"/>
        <v>-5.3383773516972436E-4</v>
      </c>
      <c r="M83" s="393">
        <f t="shared" si="19"/>
        <v>5.3681614970436454E-4</v>
      </c>
      <c r="N83" s="393">
        <f t="shared" si="19"/>
        <v>4.1488747268676228E-3</v>
      </c>
      <c r="O83" s="394">
        <f t="shared" si="19"/>
        <v>7.5842106475452553E-3</v>
      </c>
    </row>
    <row r="84" spans="2:15" ht="15.75">
      <c r="B84" s="376" t="s">
        <v>283</v>
      </c>
      <c r="C84" s="393">
        <f t="shared" si="19"/>
        <v>0</v>
      </c>
      <c r="D84" s="393">
        <f t="shared" si="19"/>
        <v>0</v>
      </c>
      <c r="E84" s="393">
        <f t="shared" si="19"/>
        <v>0</v>
      </c>
      <c r="F84" s="393">
        <f t="shared" si="19"/>
        <v>0</v>
      </c>
      <c r="G84" s="393">
        <f t="shared" si="19"/>
        <v>0</v>
      </c>
      <c r="H84" s="393">
        <f t="shared" si="19"/>
        <v>0</v>
      </c>
      <c r="I84" s="393">
        <f t="shared" si="19"/>
        <v>0</v>
      </c>
      <c r="J84" s="393">
        <f t="shared" si="19"/>
        <v>0</v>
      </c>
      <c r="K84" s="393">
        <f t="shared" si="19"/>
        <v>0</v>
      </c>
      <c r="L84" s="393">
        <f t="shared" si="19"/>
        <v>0</v>
      </c>
      <c r="M84" s="393">
        <f t="shared" si="19"/>
        <v>0</v>
      </c>
      <c r="N84" s="393">
        <f t="shared" si="19"/>
        <v>0</v>
      </c>
      <c r="O84" s="394">
        <f t="shared" si="19"/>
        <v>0</v>
      </c>
    </row>
    <row r="85" spans="2:15" ht="15.75">
      <c r="B85" s="376" t="s">
        <v>284</v>
      </c>
      <c r="C85" s="393">
        <f t="shared" si="19"/>
        <v>1.20838995845442E-3</v>
      </c>
      <c r="D85" s="393">
        <f t="shared" si="19"/>
        <v>1.025744153108437E-3</v>
      </c>
      <c r="E85" s="393">
        <f t="shared" si="19"/>
        <v>3.6377680844845843E-3</v>
      </c>
      <c r="F85" s="393">
        <f t="shared" si="19"/>
        <v>-3.1495097060480707E-4</v>
      </c>
      <c r="G85" s="393">
        <f t="shared" si="19"/>
        <v>1.5974346298889691E-3</v>
      </c>
      <c r="H85" s="393">
        <f t="shared" si="19"/>
        <v>-4.0401621937562388E-4</v>
      </c>
      <c r="I85" s="393">
        <f t="shared" si="19"/>
        <v>2.9696413501261328E-3</v>
      </c>
      <c r="J85" s="393">
        <f t="shared" si="19"/>
        <v>1.1804694014584207E-3</v>
      </c>
      <c r="K85" s="393">
        <f t="shared" si="19"/>
        <v>2.2362660838907418E-3</v>
      </c>
      <c r="L85" s="393">
        <f t="shared" si="19"/>
        <v>2.3803318736659008E-3</v>
      </c>
      <c r="M85" s="393">
        <f t="shared" si="19"/>
        <v>2.083317073900632E-3</v>
      </c>
      <c r="N85" s="393">
        <f t="shared" si="19"/>
        <v>3.9904974822490245E-3</v>
      </c>
      <c r="O85" s="394">
        <f t="shared" si="19"/>
        <v>2.1590892901246831E-2</v>
      </c>
    </row>
    <row r="86" spans="2:15" ht="15.75">
      <c r="B86" s="376" t="s">
        <v>334</v>
      </c>
      <c r="C86" s="393">
        <f t="shared" si="19"/>
        <v>0</v>
      </c>
      <c r="D86" s="393">
        <f t="shared" si="19"/>
        <v>0</v>
      </c>
      <c r="E86" s="393">
        <f t="shared" si="19"/>
        <v>0</v>
      </c>
      <c r="F86" s="393">
        <f t="shared" si="19"/>
        <v>0</v>
      </c>
      <c r="G86" s="393">
        <f t="shared" si="19"/>
        <v>0</v>
      </c>
      <c r="H86" s="393">
        <f t="shared" si="19"/>
        <v>0</v>
      </c>
      <c r="I86" s="393">
        <f t="shared" si="19"/>
        <v>0</v>
      </c>
      <c r="J86" s="393">
        <f t="shared" si="19"/>
        <v>0</v>
      </c>
      <c r="K86" s="393">
        <f t="shared" si="19"/>
        <v>0</v>
      </c>
      <c r="L86" s="393">
        <f t="shared" si="19"/>
        <v>0</v>
      </c>
      <c r="M86" s="393">
        <f t="shared" si="19"/>
        <v>0</v>
      </c>
      <c r="N86" s="393">
        <f t="shared" si="19"/>
        <v>0</v>
      </c>
      <c r="O86" s="394">
        <f t="shared" si="19"/>
        <v>0</v>
      </c>
    </row>
    <row r="87" spans="2:15" ht="15.75">
      <c r="B87" s="376" t="s">
        <v>335</v>
      </c>
      <c r="C87" s="393">
        <f t="shared" si="19"/>
        <v>-1.5122445966197747E-3</v>
      </c>
      <c r="D87" s="393">
        <f t="shared" si="19"/>
        <v>-1.561116059225246E-3</v>
      </c>
      <c r="E87" s="393">
        <f t="shared" si="19"/>
        <v>-1.5265377760840543E-3</v>
      </c>
      <c r="F87" s="393">
        <f t="shared" si="19"/>
        <v>-1.5361848397210346E-3</v>
      </c>
      <c r="G87" s="393">
        <f t="shared" si="19"/>
        <v>-1.4968360887770821E-3</v>
      </c>
      <c r="H87" s="393">
        <f t="shared" si="19"/>
        <v>-1.5670846402928999E-3</v>
      </c>
      <c r="I87" s="393">
        <f t="shared" si="19"/>
        <v>-1.5628612452451706E-3</v>
      </c>
      <c r="J87" s="393">
        <f t="shared" si="19"/>
        <v>-1.5215918709071059E-3</v>
      </c>
      <c r="K87" s="393">
        <f t="shared" si="19"/>
        <v>-1.5710076441996337E-3</v>
      </c>
      <c r="L87" s="393">
        <f t="shared" si="19"/>
        <v>-1.555215735417548E-3</v>
      </c>
      <c r="M87" s="393">
        <f t="shared" si="19"/>
        <v>-1.6163955906041995E-3</v>
      </c>
      <c r="N87" s="393">
        <f t="shared" si="19"/>
        <v>-2.5812483958075668E-3</v>
      </c>
      <c r="O87" s="394">
        <f t="shared" si="19"/>
        <v>-1.9608324482901316E-2</v>
      </c>
    </row>
    <row r="88" spans="2:15" ht="15.75">
      <c r="B88" s="400" t="s">
        <v>336</v>
      </c>
      <c r="C88" s="401">
        <f t="shared" si="19"/>
        <v>1.9942139459416483E-3</v>
      </c>
      <c r="D88" s="401">
        <f t="shared" si="19"/>
        <v>-1.4627228762540095E-4</v>
      </c>
      <c r="E88" s="401">
        <f t="shared" si="19"/>
        <v>3.7033556633615794E-4</v>
      </c>
      <c r="F88" s="401">
        <f t="shared" si="19"/>
        <v>-3.4296770922770175E-3</v>
      </c>
      <c r="G88" s="401">
        <f t="shared" si="19"/>
        <v>3.8834964226847715E-3</v>
      </c>
      <c r="H88" s="401">
        <f t="shared" si="19"/>
        <v>5.8109302983472264E-5</v>
      </c>
      <c r="I88" s="401">
        <f t="shared" si="19"/>
        <v>-1.6687845507957239E-3</v>
      </c>
      <c r="J88" s="401">
        <f t="shared" si="19"/>
        <v>-4.1550535837446496E-4</v>
      </c>
      <c r="K88" s="401">
        <f t="shared" si="19"/>
        <v>7.494616829116093E-4</v>
      </c>
      <c r="L88" s="401">
        <f t="shared" si="19"/>
        <v>-8.3130962912906893E-5</v>
      </c>
      <c r="M88" s="401">
        <f t="shared" si="19"/>
        <v>-1.2813065135613413E-4</v>
      </c>
      <c r="N88" s="401">
        <f t="shared" si="19"/>
        <v>-3.9674466325168955E-4</v>
      </c>
      <c r="O88" s="402">
        <f t="shared" si="19"/>
        <v>7.8737135426432147E-4</v>
      </c>
    </row>
    <row r="89" spans="2:15" ht="24.95" customHeight="1" thickBot="1">
      <c r="B89" s="403" t="s">
        <v>359</v>
      </c>
      <c r="C89" s="404"/>
      <c r="D89" s="405"/>
      <c r="E89" s="405"/>
      <c r="F89" s="405"/>
      <c r="G89" s="405"/>
      <c r="H89" s="405"/>
      <c r="I89" s="405"/>
      <c r="J89" s="405"/>
      <c r="K89" s="405"/>
      <c r="L89" s="405"/>
      <c r="M89" s="405"/>
      <c r="N89" s="405"/>
      <c r="O89" s="406">
        <v>21386.15</v>
      </c>
    </row>
    <row r="90" spans="2:15">
      <c r="B90" s="48" t="s">
        <v>338</v>
      </c>
    </row>
    <row r="91" spans="2:15">
      <c r="B91" s="48" t="s">
        <v>356</v>
      </c>
    </row>
    <row r="93" spans="2:15" ht="16.5" thickBot="1">
      <c r="B93" s="353" t="s">
        <v>340</v>
      </c>
      <c r="C93" s="2"/>
      <c r="D93" s="2"/>
      <c r="E93" s="2"/>
      <c r="F93" s="2"/>
      <c r="G93" s="2"/>
      <c r="H93" s="2"/>
      <c r="I93" s="2"/>
      <c r="J93" s="2"/>
      <c r="K93" s="2"/>
      <c r="L93" s="2"/>
      <c r="M93" s="2"/>
      <c r="N93" s="2"/>
      <c r="O93" s="2"/>
    </row>
    <row r="94" spans="2:15" ht="24.95" customHeight="1" thickBot="1">
      <c r="B94" s="407" t="s">
        <v>357</v>
      </c>
      <c r="C94" s="408">
        <f t="shared" ref="C94:O94" si="20">C47/$O$89</f>
        <v>1.5122445966197747E-3</v>
      </c>
      <c r="D94" s="409">
        <f t="shared" si="20"/>
        <v>1.561116059225246E-3</v>
      </c>
      <c r="E94" s="409">
        <f t="shared" si="20"/>
        <v>1.5265377760840543E-3</v>
      </c>
      <c r="F94" s="409">
        <f t="shared" si="20"/>
        <v>1.5361848397210346E-3</v>
      </c>
      <c r="G94" s="409">
        <f t="shared" si="20"/>
        <v>1.4968360887770821E-3</v>
      </c>
      <c r="H94" s="409">
        <f t="shared" si="20"/>
        <v>1.5670846402928999E-3</v>
      </c>
      <c r="I94" s="409">
        <f t="shared" si="20"/>
        <v>1.5628612452451706E-3</v>
      </c>
      <c r="J94" s="409">
        <f t="shared" si="20"/>
        <v>1.5215918709071059E-3</v>
      </c>
      <c r="K94" s="409">
        <f t="shared" si="20"/>
        <v>1.5710076441996337E-3</v>
      </c>
      <c r="L94" s="409">
        <f t="shared" si="20"/>
        <v>1.555215735417548E-3</v>
      </c>
      <c r="M94" s="409">
        <f t="shared" si="20"/>
        <v>1.6163955906041995E-3</v>
      </c>
      <c r="N94" s="410">
        <f t="shared" si="20"/>
        <v>2.5812483958075668E-3</v>
      </c>
      <c r="O94" s="411">
        <f t="shared" si="20"/>
        <v>1.9608324482901316E-2</v>
      </c>
    </row>
  </sheetData>
  <printOptions horizontalCentered="1"/>
  <pageMargins left="0.7" right="0.7" top="0.75" bottom="0.75" header="0.3" footer="0.3"/>
  <pageSetup scale="2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98"/>
  <sheetViews>
    <sheetView workbookViewId="0"/>
  </sheetViews>
  <sheetFormatPr baseColWidth="10" defaultRowHeight="15"/>
  <cols>
    <col min="1" max="1" width="2.7109375" customWidth="1"/>
    <col min="2" max="2" width="52.42578125" customWidth="1"/>
    <col min="3" max="14" width="8.7109375" customWidth="1"/>
    <col min="15" max="15" width="10.5703125" customWidth="1"/>
  </cols>
  <sheetData>
    <row r="1" spans="1:16" ht="15.75">
      <c r="A1" s="2"/>
      <c r="B1" s="353" t="s">
        <v>18</v>
      </c>
      <c r="C1" s="2"/>
      <c r="D1" s="2"/>
      <c r="E1" s="2"/>
      <c r="F1" s="2"/>
      <c r="G1" s="2"/>
      <c r="H1" s="2"/>
      <c r="I1" s="2"/>
      <c r="J1" s="2"/>
      <c r="K1" s="2"/>
      <c r="L1" s="2"/>
      <c r="M1" s="2"/>
      <c r="N1" s="2"/>
      <c r="O1" s="2"/>
      <c r="P1" s="2"/>
    </row>
    <row r="2" spans="1:16" ht="15.75">
      <c r="A2" s="2"/>
      <c r="B2" s="353" t="s">
        <v>510</v>
      </c>
      <c r="C2" s="2"/>
      <c r="D2" s="2"/>
      <c r="E2" s="2"/>
      <c r="F2" s="2"/>
      <c r="G2" s="2"/>
      <c r="H2" s="2"/>
      <c r="I2" s="2"/>
      <c r="J2" s="2"/>
      <c r="K2" s="2"/>
      <c r="L2" s="2"/>
      <c r="M2" s="2"/>
      <c r="N2" s="2"/>
      <c r="O2" s="2"/>
      <c r="P2" s="2"/>
    </row>
    <row r="3" spans="1:16" ht="15.75">
      <c r="A3" s="2"/>
      <c r="B3" s="353" t="s">
        <v>19</v>
      </c>
      <c r="C3" s="2"/>
      <c r="D3" s="2"/>
      <c r="E3" s="2"/>
      <c r="F3" s="2"/>
      <c r="G3" s="2"/>
      <c r="H3" s="2"/>
      <c r="I3" s="2"/>
      <c r="J3" s="2"/>
      <c r="K3" s="2"/>
      <c r="L3" s="2"/>
      <c r="M3" s="2"/>
      <c r="N3" s="2"/>
      <c r="O3" s="2"/>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511</v>
      </c>
      <c r="P5" s="2"/>
    </row>
    <row r="6" spans="1:16" ht="15.75">
      <c r="A6" s="2"/>
      <c r="B6" s="358"/>
      <c r="C6" s="359"/>
      <c r="D6" s="359"/>
      <c r="E6" s="359"/>
      <c r="F6" s="359"/>
      <c r="G6" s="359"/>
      <c r="H6" s="359"/>
      <c r="I6" s="359"/>
      <c r="J6" s="359"/>
      <c r="K6" s="359"/>
      <c r="L6" s="359"/>
      <c r="M6" s="359"/>
      <c r="N6" s="359"/>
      <c r="O6" s="360"/>
      <c r="P6" s="2"/>
    </row>
    <row r="7" spans="1:16" ht="24.95" customHeight="1">
      <c r="A7" s="2"/>
      <c r="B7" s="362" t="s">
        <v>239</v>
      </c>
      <c r="C7" s="363">
        <f t="shared" ref="C7:N7" si="0">+C8+C12+C13</f>
        <v>429.35994894100003</v>
      </c>
      <c r="D7" s="363">
        <f t="shared" si="0"/>
        <v>343.72016006100006</v>
      </c>
      <c r="E7" s="363">
        <f t="shared" si="0"/>
        <v>365.54182205479998</v>
      </c>
      <c r="F7" s="363">
        <f t="shared" si="0"/>
        <v>726.63241735100007</v>
      </c>
      <c r="G7" s="363">
        <f t="shared" si="0"/>
        <v>388.20977129000005</v>
      </c>
      <c r="H7" s="363">
        <f t="shared" si="0"/>
        <v>350.91799769700003</v>
      </c>
      <c r="I7" s="363">
        <f t="shared" si="0"/>
        <v>374.72950094000004</v>
      </c>
      <c r="J7" s="363">
        <f t="shared" si="0"/>
        <v>358.1267335</v>
      </c>
      <c r="K7" s="363">
        <f t="shared" si="0"/>
        <v>333.96242231800011</v>
      </c>
      <c r="L7" s="363">
        <f t="shared" si="0"/>
        <v>379.56753736999991</v>
      </c>
      <c r="M7" s="363">
        <f t="shared" si="0"/>
        <v>371.22268356100005</v>
      </c>
      <c r="N7" s="363">
        <f t="shared" si="0"/>
        <v>455.04598905799992</v>
      </c>
      <c r="O7" s="364">
        <f>SUM(C7:N7)</f>
        <v>4877.0369841417996</v>
      </c>
      <c r="P7" s="2"/>
    </row>
    <row r="8" spans="1:16" ht="21" customHeight="1">
      <c r="A8" s="2"/>
      <c r="B8" s="365" t="s">
        <v>240</v>
      </c>
      <c r="C8" s="366">
        <f>+C9+C10+C11</f>
        <v>425.52343602100001</v>
      </c>
      <c r="D8" s="366">
        <f t="shared" ref="D8:N8" si="1">+D9+D10+D11</f>
        <v>337.38827016100004</v>
      </c>
      <c r="E8" s="366">
        <f t="shared" si="1"/>
        <v>362.14301785480001</v>
      </c>
      <c r="F8" s="366">
        <f t="shared" si="1"/>
        <v>717.67928588100006</v>
      </c>
      <c r="G8" s="366">
        <f t="shared" si="1"/>
        <v>384.55426530000005</v>
      </c>
      <c r="H8" s="366">
        <f t="shared" si="1"/>
        <v>345.23453677700002</v>
      </c>
      <c r="I8" s="366">
        <f t="shared" si="1"/>
        <v>368.17253813000002</v>
      </c>
      <c r="J8" s="366">
        <f t="shared" si="1"/>
        <v>352.93910349999999</v>
      </c>
      <c r="K8" s="366">
        <f t="shared" si="1"/>
        <v>330.3249523180001</v>
      </c>
      <c r="L8" s="366">
        <f t="shared" si="1"/>
        <v>374.92907274999993</v>
      </c>
      <c r="M8" s="366">
        <f t="shared" si="1"/>
        <v>358.70353665100004</v>
      </c>
      <c r="N8" s="366">
        <f t="shared" si="1"/>
        <v>448.61371578799992</v>
      </c>
      <c r="O8" s="367">
        <f t="shared" ref="O8:O13" si="2">SUM(C8:N8)</f>
        <v>4806.2057311318003</v>
      </c>
      <c r="P8" s="2"/>
    </row>
    <row r="9" spans="1:16" ht="18.75">
      <c r="A9" s="2"/>
      <c r="B9" s="368" t="s">
        <v>351</v>
      </c>
      <c r="C9" s="366">
        <v>365.39543524999999</v>
      </c>
      <c r="D9" s="366">
        <v>273.02327061000005</v>
      </c>
      <c r="E9" s="366">
        <v>283.26428893000002</v>
      </c>
      <c r="F9" s="366">
        <v>655.07278097000005</v>
      </c>
      <c r="G9" s="366">
        <v>307.10556570000006</v>
      </c>
      <c r="H9" s="366">
        <v>284.29572649000005</v>
      </c>
      <c r="I9" s="366">
        <v>312.72773884000003</v>
      </c>
      <c r="J9" s="366">
        <v>287.74144178</v>
      </c>
      <c r="K9" s="366">
        <v>271.25409295000009</v>
      </c>
      <c r="L9" s="366">
        <v>308.33929178999995</v>
      </c>
      <c r="M9" s="366">
        <v>293.09155720000001</v>
      </c>
      <c r="N9" s="366">
        <v>302.78450239999989</v>
      </c>
      <c r="O9" s="367">
        <f t="shared" si="2"/>
        <v>3944.0956929100007</v>
      </c>
      <c r="P9" s="2"/>
    </row>
    <row r="10" spans="1:16" ht="15.75">
      <c r="A10" s="2"/>
      <c r="B10" s="368" t="s">
        <v>317</v>
      </c>
      <c r="C10" s="366">
        <v>48.517497830000003</v>
      </c>
      <c r="D10" s="366">
        <v>52.006265989999996</v>
      </c>
      <c r="E10" s="366">
        <v>74.258642129999998</v>
      </c>
      <c r="F10" s="366">
        <v>58.529593410000004</v>
      </c>
      <c r="G10" s="366">
        <v>68.797981370000002</v>
      </c>
      <c r="H10" s="366">
        <v>61.29338439</v>
      </c>
      <c r="I10" s="366">
        <v>48.668618010000003</v>
      </c>
      <c r="J10" s="366">
        <v>53.012417630000009</v>
      </c>
      <c r="K10" s="366">
        <v>47.386031949999996</v>
      </c>
      <c r="L10" s="366">
        <v>48.40144596999999</v>
      </c>
      <c r="M10" s="366">
        <v>48.160398799999996</v>
      </c>
      <c r="N10" s="366">
        <v>146.74227818</v>
      </c>
      <c r="O10" s="367">
        <f t="shared" si="2"/>
        <v>755.77455565999992</v>
      </c>
      <c r="P10" s="2"/>
    </row>
    <row r="11" spans="1:16" ht="15.75">
      <c r="A11" s="2"/>
      <c r="B11" s="368" t="s">
        <v>318</v>
      </c>
      <c r="C11" s="366">
        <v>11.610502940999993</v>
      </c>
      <c r="D11" s="366">
        <v>12.358733561000001</v>
      </c>
      <c r="E11" s="366">
        <v>4.6200867948000095</v>
      </c>
      <c r="F11" s="366">
        <v>4.0769115009999979</v>
      </c>
      <c r="G11" s="366">
        <v>8.6507182299999954</v>
      </c>
      <c r="H11" s="366">
        <v>-0.35457410299999026</v>
      </c>
      <c r="I11" s="366">
        <v>6.7761812799999959</v>
      </c>
      <c r="J11" s="366">
        <v>12.185244089999994</v>
      </c>
      <c r="K11" s="366">
        <v>11.684827418000005</v>
      </c>
      <c r="L11" s="366">
        <v>18.188334989999994</v>
      </c>
      <c r="M11" s="366">
        <v>17.451580651000004</v>
      </c>
      <c r="N11" s="366">
        <v>-0.91306479199999302</v>
      </c>
      <c r="O11" s="367">
        <f t="shared" si="2"/>
        <v>106.33548256179998</v>
      </c>
      <c r="P11" s="2"/>
    </row>
    <row r="12" spans="1:16" ht="21" customHeight="1">
      <c r="A12" s="2"/>
      <c r="B12" s="365" t="s">
        <v>244</v>
      </c>
      <c r="C12" s="366">
        <v>0</v>
      </c>
      <c r="D12" s="366">
        <v>0</v>
      </c>
      <c r="E12" s="366">
        <v>0</v>
      </c>
      <c r="F12" s="366">
        <v>6.5859999999999998E-3</v>
      </c>
      <c r="G12" s="366">
        <v>0</v>
      </c>
      <c r="H12" s="366">
        <v>0</v>
      </c>
      <c r="I12" s="366">
        <v>0</v>
      </c>
      <c r="J12" s="366">
        <v>0</v>
      </c>
      <c r="K12" s="366">
        <v>0</v>
      </c>
      <c r="L12" s="366">
        <v>3.9680000000000002E-3</v>
      </c>
      <c r="M12" s="366">
        <v>0</v>
      </c>
      <c r="N12" s="366">
        <v>0</v>
      </c>
      <c r="O12" s="367">
        <f t="shared" si="2"/>
        <v>1.0554000000000001E-2</v>
      </c>
      <c r="P12" s="2"/>
    </row>
    <row r="13" spans="1:16" ht="21" customHeight="1">
      <c r="A13" s="2"/>
      <c r="B13" s="365" t="s">
        <v>245</v>
      </c>
      <c r="C13" s="366">
        <v>3.8365129200000001</v>
      </c>
      <c r="D13" s="366">
        <v>6.3318899000000002</v>
      </c>
      <c r="E13" s="366">
        <v>3.3988041999999998</v>
      </c>
      <c r="F13" s="366">
        <v>8.9465454700000002</v>
      </c>
      <c r="G13" s="366">
        <v>3.65550599</v>
      </c>
      <c r="H13" s="366">
        <v>5.6834609199999999</v>
      </c>
      <c r="I13" s="366">
        <v>6.5569628099999999</v>
      </c>
      <c r="J13" s="366">
        <v>5.1876299999999995</v>
      </c>
      <c r="K13" s="366">
        <v>3.63747</v>
      </c>
      <c r="L13" s="366">
        <v>4.6344966200000002</v>
      </c>
      <c r="M13" s="366">
        <v>12.51914691</v>
      </c>
      <c r="N13" s="366">
        <v>6.4322732700000005</v>
      </c>
      <c r="O13" s="367">
        <f t="shared" si="2"/>
        <v>70.820699009999998</v>
      </c>
      <c r="P13" s="2"/>
    </row>
    <row r="14" spans="1:16" ht="24.95" customHeight="1">
      <c r="A14" s="2"/>
      <c r="B14" s="362" t="s">
        <v>246</v>
      </c>
      <c r="C14" s="363">
        <f>+C15+C21+C24</f>
        <v>445.59533043999994</v>
      </c>
      <c r="D14" s="363">
        <f t="shared" ref="D14:N14" si="3">+D15+D21+D24</f>
        <v>392.42286118000004</v>
      </c>
      <c r="E14" s="363">
        <f t="shared" si="3"/>
        <v>428.68606180999996</v>
      </c>
      <c r="F14" s="363">
        <f t="shared" si="3"/>
        <v>469.01940493999996</v>
      </c>
      <c r="G14" s="363">
        <f t="shared" si="3"/>
        <v>541.32310819899999</v>
      </c>
      <c r="H14" s="363">
        <f t="shared" si="3"/>
        <v>471.81112354599998</v>
      </c>
      <c r="I14" s="363">
        <f t="shared" si="3"/>
        <v>479.68960901999998</v>
      </c>
      <c r="J14" s="363">
        <f t="shared" si="3"/>
        <v>405.04990275000006</v>
      </c>
      <c r="K14" s="363">
        <f t="shared" si="3"/>
        <v>377.29391817999999</v>
      </c>
      <c r="L14" s="363">
        <f t="shared" si="3"/>
        <v>391.76240064000001</v>
      </c>
      <c r="M14" s="363">
        <f t="shared" si="3"/>
        <v>402.81184896000002</v>
      </c>
      <c r="N14" s="363">
        <f t="shared" si="3"/>
        <v>608.70091661999993</v>
      </c>
      <c r="O14" s="364">
        <f>SUM(C14:N14)</f>
        <v>5414.1664862849993</v>
      </c>
      <c r="P14" s="2"/>
    </row>
    <row r="15" spans="1:16" ht="21" customHeight="1">
      <c r="A15" s="2"/>
      <c r="B15" s="376" t="s">
        <v>247</v>
      </c>
      <c r="C15" s="366">
        <f>+C16+C19+C20</f>
        <v>399.32358057999994</v>
      </c>
      <c r="D15" s="366">
        <f t="shared" ref="D15:N15" si="4">+D16+D19+D20</f>
        <v>346.70611486000001</v>
      </c>
      <c r="E15" s="366">
        <f t="shared" si="4"/>
        <v>316.41512979999999</v>
      </c>
      <c r="F15" s="366">
        <f t="shared" si="4"/>
        <v>398.68569755999994</v>
      </c>
      <c r="G15" s="366">
        <f t="shared" si="4"/>
        <v>459.19371496899998</v>
      </c>
      <c r="H15" s="366">
        <f t="shared" si="4"/>
        <v>412.29878271599995</v>
      </c>
      <c r="I15" s="366">
        <f t="shared" si="4"/>
        <v>421.62569251999997</v>
      </c>
      <c r="J15" s="366">
        <f t="shared" si="4"/>
        <v>351.96915979000005</v>
      </c>
      <c r="K15" s="366">
        <f t="shared" si="4"/>
        <v>307.25161144999998</v>
      </c>
      <c r="L15" s="366">
        <f t="shared" si="4"/>
        <v>337.08576083000003</v>
      </c>
      <c r="M15" s="366">
        <f t="shared" si="4"/>
        <v>346.24939976000002</v>
      </c>
      <c r="N15" s="366">
        <f t="shared" si="4"/>
        <v>527.94154403999994</v>
      </c>
      <c r="O15" s="367">
        <f t="shared" ref="O15:O24" si="5">SUM(C15:N15)</f>
        <v>4624.7461888750004</v>
      </c>
      <c r="P15" s="2"/>
    </row>
    <row r="16" spans="1:16" ht="15.75">
      <c r="A16" s="2"/>
      <c r="B16" s="371" t="s">
        <v>321</v>
      </c>
      <c r="C16" s="366">
        <f>+C17+C18</f>
        <v>236.74123226</v>
      </c>
      <c r="D16" s="366">
        <f t="shared" ref="D16:N16" si="6">+D17+D18</f>
        <v>256.19882875000002</v>
      </c>
      <c r="E16" s="366">
        <f t="shared" si="6"/>
        <v>233.7037651</v>
      </c>
      <c r="F16" s="366">
        <f t="shared" si="6"/>
        <v>277.68083121999996</v>
      </c>
      <c r="G16" s="366">
        <f t="shared" si="6"/>
        <v>299.38403264000004</v>
      </c>
      <c r="H16" s="366">
        <f t="shared" si="6"/>
        <v>269.77270799999997</v>
      </c>
      <c r="I16" s="366">
        <f t="shared" si="6"/>
        <v>249.47402263999999</v>
      </c>
      <c r="J16" s="366">
        <f t="shared" si="6"/>
        <v>255.29539231000001</v>
      </c>
      <c r="K16" s="366">
        <f t="shared" si="6"/>
        <v>228.51901822000002</v>
      </c>
      <c r="L16" s="366">
        <f t="shared" si="6"/>
        <v>222.15161089</v>
      </c>
      <c r="M16" s="366">
        <f t="shared" si="6"/>
        <v>234.94998677000001</v>
      </c>
      <c r="N16" s="366">
        <f t="shared" si="6"/>
        <v>412.93131817</v>
      </c>
      <c r="O16" s="367">
        <f t="shared" si="5"/>
        <v>3176.80274697</v>
      </c>
      <c r="P16" s="2"/>
    </row>
    <row r="17" spans="1:16" ht="15.75">
      <c r="A17" s="2"/>
      <c r="B17" s="395" t="s">
        <v>322</v>
      </c>
      <c r="C17" s="366">
        <v>164.80909643000001</v>
      </c>
      <c r="D17" s="366">
        <v>163.82654039900001</v>
      </c>
      <c r="E17" s="366">
        <v>161.624277885</v>
      </c>
      <c r="F17" s="366">
        <v>182.86770896100001</v>
      </c>
      <c r="G17" s="366">
        <v>167.27065818900002</v>
      </c>
      <c r="H17" s="366">
        <v>174.18141880299999</v>
      </c>
      <c r="I17" s="366">
        <v>167.30814634699999</v>
      </c>
      <c r="J17" s="366">
        <v>176.10662118400001</v>
      </c>
      <c r="K17" s="366">
        <v>151.61823878800001</v>
      </c>
      <c r="L17" s="366">
        <v>155.602974504</v>
      </c>
      <c r="M17" s="366">
        <v>158.21538282</v>
      </c>
      <c r="N17" s="366">
        <v>292.86419426800001</v>
      </c>
      <c r="O17" s="367">
        <f t="shared" si="5"/>
        <v>2116.2952585780004</v>
      </c>
      <c r="P17" s="2"/>
    </row>
    <row r="18" spans="1:16" ht="15.75">
      <c r="A18" s="2"/>
      <c r="B18" s="395" t="s">
        <v>323</v>
      </c>
      <c r="C18" s="366">
        <v>71.932135829999993</v>
      </c>
      <c r="D18" s="366">
        <v>92.372288351000009</v>
      </c>
      <c r="E18" s="366">
        <v>72.079487215</v>
      </c>
      <c r="F18" s="366">
        <v>94.813122258999982</v>
      </c>
      <c r="G18" s="366">
        <v>132.11337445100003</v>
      </c>
      <c r="H18" s="366">
        <v>95.591289197000009</v>
      </c>
      <c r="I18" s="366">
        <v>82.165876292999997</v>
      </c>
      <c r="J18" s="366">
        <v>79.188771125999992</v>
      </c>
      <c r="K18" s="366">
        <v>76.900779432000007</v>
      </c>
      <c r="L18" s="366">
        <v>66.548636385999998</v>
      </c>
      <c r="M18" s="366">
        <v>76.734603949999993</v>
      </c>
      <c r="N18" s="366">
        <v>120.06712390199999</v>
      </c>
      <c r="O18" s="367">
        <f t="shared" si="5"/>
        <v>1060.5074883919999</v>
      </c>
      <c r="P18" s="2"/>
    </row>
    <row r="19" spans="1:16" ht="15.75">
      <c r="A19" s="2"/>
      <c r="B19" s="371" t="s">
        <v>352</v>
      </c>
      <c r="C19" s="366">
        <v>90.446776019999987</v>
      </c>
      <c r="D19" s="366">
        <v>29.44307667</v>
      </c>
      <c r="E19" s="366">
        <v>23.477015659999999</v>
      </c>
      <c r="F19" s="366">
        <v>42.795806169999999</v>
      </c>
      <c r="G19" s="366">
        <v>39.878610930000001</v>
      </c>
      <c r="H19" s="366">
        <v>67.766796150000005</v>
      </c>
      <c r="I19" s="366">
        <v>103.22130421999999</v>
      </c>
      <c r="J19" s="366">
        <v>28.973576819999998</v>
      </c>
      <c r="K19" s="366">
        <v>25.746097099999997</v>
      </c>
      <c r="L19" s="366">
        <v>45.76194383</v>
      </c>
      <c r="M19" s="366">
        <v>39.883727120000003</v>
      </c>
      <c r="N19" s="366">
        <v>56.382162559999998</v>
      </c>
      <c r="O19" s="367">
        <f t="shared" si="5"/>
        <v>593.77689324999994</v>
      </c>
      <c r="P19" s="2"/>
    </row>
    <row r="20" spans="1:16" ht="15.75">
      <c r="A20" s="2"/>
      <c r="B20" s="371" t="s">
        <v>325</v>
      </c>
      <c r="C20" s="366">
        <v>72.135572299999993</v>
      </c>
      <c r="D20" s="366">
        <v>61.064209439999992</v>
      </c>
      <c r="E20" s="366">
        <v>59.234349039999998</v>
      </c>
      <c r="F20" s="366">
        <v>78.209060169999987</v>
      </c>
      <c r="G20" s="366">
        <v>119.93107139899999</v>
      </c>
      <c r="H20" s="366">
        <v>74.759278565999978</v>
      </c>
      <c r="I20" s="366">
        <v>68.930365660000007</v>
      </c>
      <c r="J20" s="366">
        <v>67.700190660000004</v>
      </c>
      <c r="K20" s="366">
        <v>52.986496129999999</v>
      </c>
      <c r="L20" s="366">
        <v>69.172206110000019</v>
      </c>
      <c r="M20" s="366">
        <v>71.41568586999999</v>
      </c>
      <c r="N20" s="366">
        <v>58.628063310000002</v>
      </c>
      <c r="O20" s="367">
        <f t="shared" si="5"/>
        <v>854.16654865499993</v>
      </c>
      <c r="P20" s="2"/>
    </row>
    <row r="21" spans="1:16" ht="21" customHeight="1">
      <c r="A21" s="2"/>
      <c r="B21" s="376" t="s">
        <v>259</v>
      </c>
      <c r="C21" s="366">
        <f>+C22+C23</f>
        <v>46.386028520000004</v>
      </c>
      <c r="D21" s="366">
        <f t="shared" ref="D21:N21" si="7">+D22+D23</f>
        <v>45.716746319999999</v>
      </c>
      <c r="E21" s="366">
        <f t="shared" si="7"/>
        <v>112.27093201</v>
      </c>
      <c r="F21" s="366">
        <f t="shared" si="7"/>
        <v>70.333707380000007</v>
      </c>
      <c r="G21" s="366">
        <f t="shared" si="7"/>
        <v>82.129393230000005</v>
      </c>
      <c r="H21" s="366">
        <f t="shared" si="7"/>
        <v>59.739930270000002</v>
      </c>
      <c r="I21" s="366">
        <f t="shared" si="7"/>
        <v>58.063916499999991</v>
      </c>
      <c r="J21" s="366">
        <f t="shared" si="7"/>
        <v>53.080742960000002</v>
      </c>
      <c r="K21" s="366">
        <f t="shared" si="7"/>
        <v>70.042306730000007</v>
      </c>
      <c r="L21" s="366">
        <f t="shared" si="7"/>
        <v>54.676639810000012</v>
      </c>
      <c r="M21" s="366">
        <f t="shared" si="7"/>
        <v>56.56244920000001</v>
      </c>
      <c r="N21" s="366">
        <f t="shared" si="7"/>
        <v>80.991482149999996</v>
      </c>
      <c r="O21" s="367">
        <f t="shared" si="5"/>
        <v>789.99427507999997</v>
      </c>
      <c r="P21" s="2"/>
    </row>
    <row r="22" spans="1:16" ht="15.75">
      <c r="A22" s="2"/>
      <c r="B22" s="371" t="s">
        <v>260</v>
      </c>
      <c r="C22" s="366">
        <v>41.641724340000003</v>
      </c>
      <c r="D22" s="366">
        <v>42.78430049</v>
      </c>
      <c r="E22" s="366">
        <v>109.68390237</v>
      </c>
      <c r="F22" s="366">
        <v>65.833312050000004</v>
      </c>
      <c r="G22" s="366">
        <v>64.501402999999996</v>
      </c>
      <c r="H22" s="366">
        <v>58.500851850000004</v>
      </c>
      <c r="I22" s="366">
        <v>55.820641489999993</v>
      </c>
      <c r="J22" s="366">
        <v>45.640888580000002</v>
      </c>
      <c r="K22" s="366">
        <v>59.276928359999999</v>
      </c>
      <c r="L22" s="366">
        <v>49.019518550000008</v>
      </c>
      <c r="M22" s="366">
        <v>55.094339280000007</v>
      </c>
      <c r="N22" s="366">
        <v>78.695612909999994</v>
      </c>
      <c r="O22" s="367">
        <f t="shared" si="5"/>
        <v>726.49342327000011</v>
      </c>
      <c r="P22" s="2"/>
    </row>
    <row r="23" spans="1:16" ht="15.75">
      <c r="A23" s="2"/>
      <c r="B23" s="371" t="s">
        <v>326</v>
      </c>
      <c r="C23" s="366">
        <v>4.7443041800000003</v>
      </c>
      <c r="D23" s="366">
        <v>2.9324458299999998</v>
      </c>
      <c r="E23" s="366">
        <v>2.5870296399999999</v>
      </c>
      <c r="F23" s="366">
        <v>4.500395329999999</v>
      </c>
      <c r="G23" s="366">
        <v>17.627990230000002</v>
      </c>
      <c r="H23" s="366">
        <v>1.23907842</v>
      </c>
      <c r="I23" s="366">
        <v>2.2432750099999996</v>
      </c>
      <c r="J23" s="366">
        <v>7.4398543799999999</v>
      </c>
      <c r="K23" s="366">
        <v>10.765378370000001</v>
      </c>
      <c r="L23" s="366">
        <v>5.6571212600000003</v>
      </c>
      <c r="M23" s="366">
        <v>1.4681099200000001</v>
      </c>
      <c r="N23" s="366">
        <v>2.29586924</v>
      </c>
      <c r="O23" s="367">
        <f t="shared" si="5"/>
        <v>63.50085181</v>
      </c>
      <c r="P23" s="2"/>
    </row>
    <row r="24" spans="1:16" ht="21" customHeight="1">
      <c r="A24" s="2"/>
      <c r="B24" s="365" t="s">
        <v>327</v>
      </c>
      <c r="C24" s="366">
        <v>-0.11427866</v>
      </c>
      <c r="D24" s="366">
        <v>0</v>
      </c>
      <c r="E24" s="366">
        <v>0</v>
      </c>
      <c r="F24" s="366">
        <v>0</v>
      </c>
      <c r="G24" s="366">
        <v>0</v>
      </c>
      <c r="H24" s="366">
        <v>-0.22758944</v>
      </c>
      <c r="I24" s="366">
        <v>0</v>
      </c>
      <c r="J24" s="366">
        <v>0</v>
      </c>
      <c r="K24" s="366">
        <v>0</v>
      </c>
      <c r="L24" s="366">
        <v>0</v>
      </c>
      <c r="M24" s="366">
        <v>0</v>
      </c>
      <c r="N24" s="366">
        <v>-0.23210956999999999</v>
      </c>
      <c r="O24" s="367">
        <f t="shared" si="5"/>
        <v>-0.57397767</v>
      </c>
      <c r="P24" s="2"/>
    </row>
    <row r="25" spans="1:16" ht="24.95" customHeight="1">
      <c r="A25" s="2"/>
      <c r="B25" s="362" t="s">
        <v>269</v>
      </c>
      <c r="C25" s="363">
        <f t="shared" ref="C25:N25" si="8">C8-C15</f>
        <v>26.199855441000068</v>
      </c>
      <c r="D25" s="363">
        <f t="shared" si="8"/>
        <v>-9.317844698999977</v>
      </c>
      <c r="E25" s="363">
        <f t="shared" si="8"/>
        <v>45.727888054800019</v>
      </c>
      <c r="F25" s="363">
        <f t="shared" si="8"/>
        <v>318.99358832100012</v>
      </c>
      <c r="G25" s="363">
        <f t="shared" si="8"/>
        <v>-74.63944966899993</v>
      </c>
      <c r="H25" s="363">
        <f t="shared" si="8"/>
        <v>-67.064245938999932</v>
      </c>
      <c r="I25" s="363">
        <f t="shared" si="8"/>
        <v>-53.453154389999952</v>
      </c>
      <c r="J25" s="363">
        <f t="shared" si="8"/>
        <v>0.96994370999993862</v>
      </c>
      <c r="K25" s="363">
        <f t="shared" si="8"/>
        <v>23.073340868000116</v>
      </c>
      <c r="L25" s="363">
        <f t="shared" si="8"/>
        <v>37.843311919999906</v>
      </c>
      <c r="M25" s="363">
        <f t="shared" si="8"/>
        <v>12.454136891000019</v>
      </c>
      <c r="N25" s="363">
        <f t="shared" si="8"/>
        <v>-79.327828252000018</v>
      </c>
      <c r="O25" s="364">
        <f>SUM(C25:N25)</f>
        <v>181.45954225680038</v>
      </c>
      <c r="P25" s="2"/>
    </row>
    <row r="26" spans="1:16" ht="24.95" customHeight="1">
      <c r="A26" s="2"/>
      <c r="B26" s="372" t="s">
        <v>735</v>
      </c>
      <c r="C26" s="363"/>
      <c r="D26" s="363"/>
      <c r="E26" s="363"/>
      <c r="F26" s="363"/>
      <c r="G26" s="363"/>
      <c r="H26" s="363"/>
      <c r="I26" s="363"/>
      <c r="J26" s="363"/>
      <c r="K26" s="363"/>
      <c r="L26" s="363"/>
      <c r="M26" s="363"/>
      <c r="N26" s="363"/>
      <c r="O26" s="364"/>
      <c r="P26" s="2"/>
    </row>
    <row r="27" spans="1:16" ht="21" customHeight="1">
      <c r="A27" s="2"/>
      <c r="B27" s="399" t="s">
        <v>737</v>
      </c>
      <c r="C27" s="363">
        <f>C30+C19</f>
        <v>74.211394521000074</v>
      </c>
      <c r="D27" s="363">
        <f>D30+D19</f>
        <v>-19.259624448999983</v>
      </c>
      <c r="E27" s="363">
        <f t="shared" ref="E27:N27" si="9">E30+E19</f>
        <v>-39.667224095199977</v>
      </c>
      <c r="F27" s="363">
        <f t="shared" si="9"/>
        <v>300.40881858100011</v>
      </c>
      <c r="G27" s="363">
        <f t="shared" si="9"/>
        <v>-113.23472597899993</v>
      </c>
      <c r="H27" s="363">
        <f t="shared" si="9"/>
        <v>-53.126329698999939</v>
      </c>
      <c r="I27" s="363">
        <f t="shared" si="9"/>
        <v>-1.7388038599999476</v>
      </c>
      <c r="J27" s="363">
        <f t="shared" si="9"/>
        <v>-17.94959243000006</v>
      </c>
      <c r="K27" s="363">
        <f t="shared" si="9"/>
        <v>-17.585398761999887</v>
      </c>
      <c r="L27" s="363">
        <f t="shared" si="9"/>
        <v>33.567080559999901</v>
      </c>
      <c r="M27" s="363">
        <f t="shared" si="9"/>
        <v>8.2945617210000364</v>
      </c>
      <c r="N27" s="363">
        <f t="shared" si="9"/>
        <v>-97.272765002000014</v>
      </c>
      <c r="O27" s="364">
        <f t="shared" ref="O27:O28" si="10">SUM(C27:N27)</f>
        <v>56.647391106800413</v>
      </c>
      <c r="P27" s="2"/>
    </row>
    <row r="28" spans="1:16" ht="21" customHeight="1">
      <c r="A28" s="2"/>
      <c r="B28" s="399" t="s">
        <v>736</v>
      </c>
      <c r="C28" s="363">
        <f>C27-C49</f>
        <v>39.701405181000077</v>
      </c>
      <c r="D28" s="363">
        <f>D27-D49</f>
        <v>-53.383358198999986</v>
      </c>
      <c r="E28" s="363">
        <f t="shared" ref="E28:N28" si="11">E27-E49</f>
        <v>-74.114987345199978</v>
      </c>
      <c r="F28" s="363">
        <f t="shared" si="11"/>
        <v>266.26693292100009</v>
      </c>
      <c r="G28" s="363">
        <f t="shared" si="11"/>
        <v>-147.54688540899994</v>
      </c>
      <c r="H28" s="363">
        <f t="shared" si="11"/>
        <v>-87.589361588999935</v>
      </c>
      <c r="I28" s="363">
        <f t="shared" si="11"/>
        <v>-37.239853819999951</v>
      </c>
      <c r="J28" s="363">
        <f t="shared" si="11"/>
        <v>-53.21031270000006</v>
      </c>
      <c r="K28" s="363">
        <f t="shared" si="11"/>
        <v>-53.023690971999883</v>
      </c>
      <c r="L28" s="363">
        <f t="shared" si="11"/>
        <v>-2.1875260400001011</v>
      </c>
      <c r="M28" s="363">
        <f t="shared" si="11"/>
        <v>-29.553196378999964</v>
      </c>
      <c r="N28" s="363">
        <f t="shared" si="11"/>
        <v>-153.74201351200003</v>
      </c>
      <c r="O28" s="364">
        <f t="shared" si="10"/>
        <v>-385.62284786319969</v>
      </c>
      <c r="P28" s="2"/>
    </row>
    <row r="29" spans="1:16" ht="24.95" customHeight="1">
      <c r="A29" s="2"/>
      <c r="B29" s="373" t="s">
        <v>328</v>
      </c>
      <c r="C29" s="366"/>
      <c r="D29" s="366"/>
      <c r="E29" s="366"/>
      <c r="F29" s="366"/>
      <c r="G29" s="366"/>
      <c r="H29" s="366"/>
      <c r="I29" s="366"/>
      <c r="J29" s="366"/>
      <c r="K29" s="366"/>
      <c r="L29" s="366"/>
      <c r="M29" s="366"/>
      <c r="N29" s="366"/>
      <c r="O29" s="364"/>
      <c r="P29" s="2"/>
    </row>
    <row r="30" spans="1:16" ht="21" customHeight="1">
      <c r="A30" s="2"/>
      <c r="B30" s="374" t="s">
        <v>329</v>
      </c>
      <c r="C30" s="363">
        <f t="shared" ref="C30:N30" si="12">C7-C14</f>
        <v>-16.235381498999914</v>
      </c>
      <c r="D30" s="363">
        <f t="shared" si="12"/>
        <v>-48.702701118999983</v>
      </c>
      <c r="E30" s="363">
        <f t="shared" si="12"/>
        <v>-63.144239755199976</v>
      </c>
      <c r="F30" s="363">
        <f t="shared" si="12"/>
        <v>257.61301241100011</v>
      </c>
      <c r="G30" s="363">
        <f t="shared" si="12"/>
        <v>-153.11333690899994</v>
      </c>
      <c r="H30" s="363">
        <f t="shared" si="12"/>
        <v>-120.89312584899994</v>
      </c>
      <c r="I30" s="363">
        <f t="shared" si="12"/>
        <v>-104.96010807999994</v>
      </c>
      <c r="J30" s="363">
        <f t="shared" si="12"/>
        <v>-46.923169250000058</v>
      </c>
      <c r="K30" s="363">
        <f t="shared" si="12"/>
        <v>-43.331495861999883</v>
      </c>
      <c r="L30" s="363">
        <f t="shared" si="12"/>
        <v>-12.194863270000099</v>
      </c>
      <c r="M30" s="363">
        <f t="shared" si="12"/>
        <v>-31.589165398999967</v>
      </c>
      <c r="N30" s="363">
        <f t="shared" si="12"/>
        <v>-153.65492756200001</v>
      </c>
      <c r="O30" s="364">
        <f t="shared" ref="O30:O44" si="13">SUM(C30:N30)</f>
        <v>-537.1295021431996</v>
      </c>
      <c r="P30" s="2"/>
    </row>
    <row r="31" spans="1:16" ht="21" customHeight="1">
      <c r="A31" s="2"/>
      <c r="B31" s="374" t="s">
        <v>330</v>
      </c>
      <c r="C31" s="363">
        <f t="shared" ref="C31:N31" si="14">C30-C13</f>
        <v>-20.071894418999914</v>
      </c>
      <c r="D31" s="363">
        <f t="shared" si="14"/>
        <v>-55.034591018999983</v>
      </c>
      <c r="E31" s="363">
        <f t="shared" si="14"/>
        <v>-66.543043955199977</v>
      </c>
      <c r="F31" s="363">
        <f t="shared" si="14"/>
        <v>248.66646694100012</v>
      </c>
      <c r="G31" s="363">
        <f t="shared" si="14"/>
        <v>-156.76884289899994</v>
      </c>
      <c r="H31" s="363">
        <f t="shared" si="14"/>
        <v>-126.57658676899995</v>
      </c>
      <c r="I31" s="363">
        <f t="shared" si="14"/>
        <v>-111.51707088999994</v>
      </c>
      <c r="J31" s="363">
        <f t="shared" si="14"/>
        <v>-52.110799250000056</v>
      </c>
      <c r="K31" s="363">
        <f t="shared" si="14"/>
        <v>-46.968965861999884</v>
      </c>
      <c r="L31" s="363">
        <f t="shared" si="14"/>
        <v>-16.829359890000099</v>
      </c>
      <c r="M31" s="363">
        <f t="shared" si="14"/>
        <v>-44.10831230899997</v>
      </c>
      <c r="N31" s="363">
        <f t="shared" si="14"/>
        <v>-160.08720083200001</v>
      </c>
      <c r="O31" s="364">
        <f t="shared" si="13"/>
        <v>-607.95020115319971</v>
      </c>
      <c r="P31" s="2"/>
    </row>
    <row r="32" spans="1:16" ht="21" customHeight="1">
      <c r="A32" s="2"/>
      <c r="B32" s="374" t="s">
        <v>355</v>
      </c>
      <c r="C32" s="363">
        <f t="shared" ref="C32:N32" si="15">C30-C49</f>
        <v>-50.745370838999911</v>
      </c>
      <c r="D32" s="363">
        <f t="shared" si="15"/>
        <v>-82.826434868999982</v>
      </c>
      <c r="E32" s="363">
        <f t="shared" si="15"/>
        <v>-97.592003005199984</v>
      </c>
      <c r="F32" s="363">
        <f t="shared" si="15"/>
        <v>223.4711267510001</v>
      </c>
      <c r="G32" s="363">
        <f t="shared" si="15"/>
        <v>-187.42549633899995</v>
      </c>
      <c r="H32" s="363">
        <f t="shared" si="15"/>
        <v>-155.35615773899994</v>
      </c>
      <c r="I32" s="363">
        <f t="shared" si="15"/>
        <v>-140.46115803999993</v>
      </c>
      <c r="J32" s="363">
        <f t="shared" si="15"/>
        <v>-82.183889520000065</v>
      </c>
      <c r="K32" s="363">
        <f t="shared" si="15"/>
        <v>-78.769788071999884</v>
      </c>
      <c r="L32" s="363">
        <f t="shared" si="15"/>
        <v>-47.949469870000101</v>
      </c>
      <c r="M32" s="363">
        <f t="shared" si="15"/>
        <v>-69.43692349899996</v>
      </c>
      <c r="N32" s="363">
        <f t="shared" si="15"/>
        <v>-210.12417607200001</v>
      </c>
      <c r="O32" s="364">
        <f t="shared" si="13"/>
        <v>-979.39974111319952</v>
      </c>
      <c r="P32" s="2"/>
    </row>
    <row r="33" spans="1:16" ht="24.95" customHeight="1">
      <c r="A33" s="2"/>
      <c r="B33" s="362" t="s">
        <v>332</v>
      </c>
      <c r="C33" s="363">
        <f>SUM(C34:C35)</f>
        <v>-4.7440555299999989</v>
      </c>
      <c r="D33" s="363">
        <f t="shared" ref="D33:N33" si="16">SUM(D34:D35)</f>
        <v>-10.539117859999998</v>
      </c>
      <c r="E33" s="363">
        <f t="shared" si="16"/>
        <v>33.341736300000008</v>
      </c>
      <c r="F33" s="363">
        <f t="shared" si="16"/>
        <v>-1.5687479700000004</v>
      </c>
      <c r="G33" s="363">
        <f t="shared" si="16"/>
        <v>-5.5229621999999985</v>
      </c>
      <c r="H33" s="363">
        <f t="shared" si="16"/>
        <v>-8.7999720000000003</v>
      </c>
      <c r="I33" s="363">
        <f t="shared" si="16"/>
        <v>6.8407349300000035</v>
      </c>
      <c r="J33" s="363">
        <f t="shared" si="16"/>
        <v>-8.8578230599999994</v>
      </c>
      <c r="K33" s="363">
        <f t="shared" si="16"/>
        <v>1.908697550000003</v>
      </c>
      <c r="L33" s="363">
        <f t="shared" si="16"/>
        <v>11.728868289999999</v>
      </c>
      <c r="M33" s="363">
        <f t="shared" si="16"/>
        <v>-9.961006839999996</v>
      </c>
      <c r="N33" s="363">
        <f t="shared" si="16"/>
        <v>8.8372985299999982</v>
      </c>
      <c r="O33" s="364">
        <f t="shared" si="13"/>
        <v>12.663650140000023</v>
      </c>
      <c r="P33" s="2"/>
    </row>
    <row r="34" spans="1:16" ht="15.75">
      <c r="A34" s="2"/>
      <c r="B34" s="365" t="s">
        <v>276</v>
      </c>
      <c r="C34" s="366">
        <v>11.241023</v>
      </c>
      <c r="D34" s="366">
        <v>10.52077169</v>
      </c>
      <c r="E34" s="366">
        <v>48.226341830000003</v>
      </c>
      <c r="F34" s="366">
        <v>13.7806371</v>
      </c>
      <c r="G34" s="366">
        <v>26.541637359999999</v>
      </c>
      <c r="H34" s="366">
        <v>11.544602810000001</v>
      </c>
      <c r="I34" s="366">
        <v>24.587143900000001</v>
      </c>
      <c r="J34" s="366">
        <v>10.83728106</v>
      </c>
      <c r="K34" s="366">
        <v>22.684859670000002</v>
      </c>
      <c r="L34" s="366">
        <v>23.614881560000001</v>
      </c>
      <c r="M34" s="366">
        <v>24.11839973</v>
      </c>
      <c r="N34" s="366">
        <v>41.362440759999998</v>
      </c>
      <c r="O34" s="367">
        <f t="shared" si="13"/>
        <v>269.06002047000004</v>
      </c>
      <c r="P34" s="329"/>
    </row>
    <row r="35" spans="1:16" ht="15.75">
      <c r="A35" s="2"/>
      <c r="B35" s="365" t="s">
        <v>277</v>
      </c>
      <c r="C35" s="366">
        <v>-15.985078529999999</v>
      </c>
      <c r="D35" s="366">
        <v>-21.059889549999998</v>
      </c>
      <c r="E35" s="366">
        <v>-14.884605529999998</v>
      </c>
      <c r="F35" s="366">
        <v>-15.34938507</v>
      </c>
      <c r="G35" s="366">
        <v>-32.064599559999998</v>
      </c>
      <c r="H35" s="366">
        <v>-20.344574810000001</v>
      </c>
      <c r="I35" s="366">
        <v>-17.746408969999997</v>
      </c>
      <c r="J35" s="366">
        <v>-19.69510412</v>
      </c>
      <c r="K35" s="366">
        <v>-20.776162119999999</v>
      </c>
      <c r="L35" s="366">
        <v>-11.886013270000001</v>
      </c>
      <c r="M35" s="366">
        <v>-34.079406569999996</v>
      </c>
      <c r="N35" s="366">
        <v>-32.52514223</v>
      </c>
      <c r="O35" s="367">
        <f t="shared" si="13"/>
        <v>-256.39637032999997</v>
      </c>
      <c r="P35" s="329"/>
    </row>
    <row r="36" spans="1:16" ht="24.95" customHeight="1">
      <c r="A36" s="2"/>
      <c r="B36" s="362" t="s">
        <v>333</v>
      </c>
      <c r="C36" s="363">
        <f>SUM(C37:C43)</f>
        <v>20.979437028999939</v>
      </c>
      <c r="D36" s="363">
        <f t="shared" ref="D36:N36" si="17">SUM(D37:D43)</f>
        <v>59.241818978999973</v>
      </c>
      <c r="E36" s="363">
        <f t="shared" si="17"/>
        <v>29.802503455199961</v>
      </c>
      <c r="F36" s="363">
        <f t="shared" si="17"/>
        <v>-256.04426444100011</v>
      </c>
      <c r="G36" s="363">
        <f t="shared" si="17"/>
        <v>158.63629910899994</v>
      </c>
      <c r="H36" s="363">
        <f t="shared" si="17"/>
        <v>129.69309784899994</v>
      </c>
      <c r="I36" s="363">
        <f t="shared" si="17"/>
        <v>98.119373149999944</v>
      </c>
      <c r="J36" s="363">
        <f t="shared" si="17"/>
        <v>55.780992310000059</v>
      </c>
      <c r="K36" s="363">
        <f t="shared" si="17"/>
        <v>41.422798311999884</v>
      </c>
      <c r="L36" s="363">
        <f t="shared" si="17"/>
        <v>0.46599498000009731</v>
      </c>
      <c r="M36" s="363">
        <f t="shared" si="17"/>
        <v>41.550172238999963</v>
      </c>
      <c r="N36" s="363">
        <f t="shared" si="17"/>
        <v>144.81762903200001</v>
      </c>
      <c r="O36" s="364">
        <f t="shared" si="13"/>
        <v>524.46585200319964</v>
      </c>
      <c r="P36" s="2"/>
    </row>
    <row r="37" spans="1:16" ht="15.75">
      <c r="A37" s="2"/>
      <c r="B37" s="365" t="s">
        <v>279</v>
      </c>
      <c r="C37" s="366">
        <v>350.23100000000005</v>
      </c>
      <c r="D37" s="366">
        <v>-11.834</v>
      </c>
      <c r="E37" s="366">
        <v>-27.712</v>
      </c>
      <c r="F37" s="366">
        <v>17.98</v>
      </c>
      <c r="G37" s="366">
        <v>-11.857142850000098</v>
      </c>
      <c r="H37" s="366">
        <v>91.718999999999994</v>
      </c>
      <c r="I37" s="366">
        <v>168.12100000000001</v>
      </c>
      <c r="J37" s="366">
        <v>38.363</v>
      </c>
      <c r="K37" s="366">
        <v>16.631999999999998</v>
      </c>
      <c r="L37" s="366">
        <v>40.103000000000002</v>
      </c>
      <c r="M37" s="366">
        <v>42.338999999999999</v>
      </c>
      <c r="N37" s="366">
        <v>43.654000000000003</v>
      </c>
      <c r="O37" s="367">
        <f t="shared" si="13"/>
        <v>757.73885714999983</v>
      </c>
      <c r="P37" s="2"/>
    </row>
    <row r="38" spans="1:16" ht="15.75">
      <c r="A38" s="2"/>
      <c r="B38" s="376" t="s">
        <v>282</v>
      </c>
      <c r="C38" s="366">
        <v>-169.74524528999996</v>
      </c>
      <c r="D38" s="366">
        <v>-5.3144376199999925</v>
      </c>
      <c r="E38" s="366">
        <v>48.416148410000005</v>
      </c>
      <c r="F38" s="366">
        <v>-281.67850949000001</v>
      </c>
      <c r="G38" s="366">
        <v>65.234609009999986</v>
      </c>
      <c r="H38" s="366">
        <v>107.04633828000001</v>
      </c>
      <c r="I38" s="366">
        <v>-20.287670830000003</v>
      </c>
      <c r="J38" s="366">
        <v>-38.411842960000001</v>
      </c>
      <c r="K38" s="366">
        <v>73.970186180000013</v>
      </c>
      <c r="L38" s="366">
        <v>-43.42309075</v>
      </c>
      <c r="M38" s="366">
        <v>-28.101897279999999</v>
      </c>
      <c r="N38" s="366">
        <v>121.61497513</v>
      </c>
      <c r="O38" s="367">
        <f t="shared" si="13"/>
        <v>-170.68043720999992</v>
      </c>
      <c r="P38" s="2"/>
    </row>
    <row r="39" spans="1:16" ht="15.75">
      <c r="A39" s="2"/>
      <c r="B39" s="376" t="s">
        <v>283</v>
      </c>
      <c r="C39" s="366">
        <v>0</v>
      </c>
      <c r="D39" s="366">
        <v>0</v>
      </c>
      <c r="E39" s="366">
        <v>0</v>
      </c>
      <c r="F39" s="366">
        <v>0</v>
      </c>
      <c r="G39" s="366">
        <v>0</v>
      </c>
      <c r="H39" s="366">
        <v>0</v>
      </c>
      <c r="I39" s="366">
        <v>0</v>
      </c>
      <c r="J39" s="366">
        <v>0</v>
      </c>
      <c r="K39" s="366">
        <v>0</v>
      </c>
      <c r="L39" s="366">
        <v>0</v>
      </c>
      <c r="M39" s="366">
        <v>0</v>
      </c>
      <c r="N39" s="366">
        <v>0</v>
      </c>
      <c r="O39" s="367">
        <f t="shared" si="13"/>
        <v>0</v>
      </c>
      <c r="P39" s="2"/>
    </row>
    <row r="40" spans="1:16" ht="15.75">
      <c r="A40" s="2"/>
      <c r="B40" s="376" t="s">
        <v>284</v>
      </c>
      <c r="C40" s="366">
        <v>-139.51272122000003</v>
      </c>
      <c r="D40" s="366">
        <v>89.023569009999989</v>
      </c>
      <c r="E40" s="366">
        <v>50.761698480000007</v>
      </c>
      <c r="F40" s="366">
        <v>30.75050762</v>
      </c>
      <c r="G40" s="366">
        <v>63.808549730000003</v>
      </c>
      <c r="H40" s="366">
        <v>17.575239359999991</v>
      </c>
      <c r="I40" s="366">
        <v>-2.150172659999992</v>
      </c>
      <c r="J40" s="366">
        <v>49.04899159</v>
      </c>
      <c r="K40" s="366">
        <v>32.436932800000001</v>
      </c>
      <c r="L40" s="366">
        <v>22.725385540000001</v>
      </c>
      <c r="M40" s="366">
        <v>79.861687539999991</v>
      </c>
      <c r="N40" s="366">
        <v>65.196039539999987</v>
      </c>
      <c r="O40" s="367">
        <f t="shared" si="13"/>
        <v>359.52570732999993</v>
      </c>
      <c r="P40" s="2"/>
    </row>
    <row r="41" spans="1:16" ht="15.75">
      <c r="A41" s="2"/>
      <c r="B41" s="376" t="s">
        <v>334</v>
      </c>
      <c r="C41" s="366">
        <v>0</v>
      </c>
      <c r="D41" s="366">
        <v>0</v>
      </c>
      <c r="E41" s="366">
        <v>0</v>
      </c>
      <c r="F41" s="366">
        <v>0</v>
      </c>
      <c r="G41" s="366">
        <v>0</v>
      </c>
      <c r="H41" s="366">
        <v>0</v>
      </c>
      <c r="I41" s="366">
        <v>0</v>
      </c>
      <c r="J41" s="366">
        <v>0</v>
      </c>
      <c r="K41" s="366">
        <v>0</v>
      </c>
      <c r="L41" s="366">
        <v>0</v>
      </c>
      <c r="M41" s="366">
        <v>0</v>
      </c>
      <c r="N41" s="366">
        <v>0</v>
      </c>
      <c r="O41" s="367">
        <f t="shared" si="13"/>
        <v>0</v>
      </c>
      <c r="P41" s="2"/>
    </row>
    <row r="42" spans="1:16" ht="15.75">
      <c r="A42" s="2"/>
      <c r="B42" s="376" t="s">
        <v>335</v>
      </c>
      <c r="C42" s="366">
        <v>-34.509989340000004</v>
      </c>
      <c r="D42" s="366">
        <v>-34.12373375</v>
      </c>
      <c r="E42" s="366">
        <v>-34.447763250000001</v>
      </c>
      <c r="F42" s="366">
        <v>-34.14188566</v>
      </c>
      <c r="G42" s="366">
        <v>-34.312159430000001</v>
      </c>
      <c r="H42" s="366">
        <v>-34.463031889999996</v>
      </c>
      <c r="I42" s="366">
        <v>-35.501049960000003</v>
      </c>
      <c r="J42" s="366">
        <v>-35.26072027</v>
      </c>
      <c r="K42" s="366">
        <v>-35.43829221</v>
      </c>
      <c r="L42" s="366">
        <v>-35.754606600000002</v>
      </c>
      <c r="M42" s="366">
        <v>-37.8477581</v>
      </c>
      <c r="N42" s="366">
        <v>-56.46924851</v>
      </c>
      <c r="O42" s="367">
        <f t="shared" si="13"/>
        <v>-442.27023896999998</v>
      </c>
      <c r="P42" s="2"/>
    </row>
    <row r="43" spans="1:16" ht="15.75">
      <c r="A43" s="2"/>
      <c r="B43" s="376" t="s">
        <v>336</v>
      </c>
      <c r="C43" s="366">
        <v>14.516392878999881</v>
      </c>
      <c r="D43" s="366">
        <v>21.49042133899998</v>
      </c>
      <c r="E43" s="366">
        <v>-7.2155801848000465</v>
      </c>
      <c r="F43" s="366">
        <v>11.045623088999889</v>
      </c>
      <c r="G43" s="366">
        <v>75.762442649000064</v>
      </c>
      <c r="H43" s="366">
        <v>-52.184447901000055</v>
      </c>
      <c r="I43" s="366">
        <v>-12.062733400000084</v>
      </c>
      <c r="J43" s="366">
        <v>42.041563950000061</v>
      </c>
      <c r="K43" s="366">
        <v>-46.178028458000128</v>
      </c>
      <c r="L43" s="366">
        <v>16.815306790000097</v>
      </c>
      <c r="M43" s="366">
        <v>-14.700859921000024</v>
      </c>
      <c r="N43" s="366">
        <v>-29.178137127999975</v>
      </c>
      <c r="O43" s="367">
        <f t="shared" si="13"/>
        <v>20.151963703199662</v>
      </c>
      <c r="P43" s="2"/>
    </row>
    <row r="44" spans="1:16" ht="24.95" customHeight="1" thickBot="1">
      <c r="A44" s="2"/>
      <c r="B44" s="377" t="s">
        <v>337</v>
      </c>
      <c r="C44" s="378">
        <f t="shared" ref="C44:N44" si="18">-C30-C33-C36</f>
        <v>-2.8421709430404007E-14</v>
      </c>
      <c r="D44" s="378">
        <f t="shared" si="18"/>
        <v>0</v>
      </c>
      <c r="E44" s="378">
        <f t="shared" si="18"/>
        <v>0</v>
      </c>
      <c r="F44" s="378">
        <f t="shared" si="18"/>
        <v>0</v>
      </c>
      <c r="G44" s="378">
        <f t="shared" si="18"/>
        <v>0</v>
      </c>
      <c r="H44" s="378">
        <f t="shared" si="18"/>
        <v>0</v>
      </c>
      <c r="I44" s="378">
        <f t="shared" si="18"/>
        <v>0</v>
      </c>
      <c r="J44" s="378">
        <f t="shared" si="18"/>
        <v>0</v>
      </c>
      <c r="K44" s="378">
        <f t="shared" si="18"/>
        <v>0</v>
      </c>
      <c r="L44" s="378">
        <f t="shared" si="18"/>
        <v>1.7763568394002505E-15</v>
      </c>
      <c r="M44" s="378">
        <f t="shared" si="18"/>
        <v>0</v>
      </c>
      <c r="N44" s="378">
        <f t="shared" si="18"/>
        <v>0</v>
      </c>
      <c r="O44" s="379">
        <f t="shared" si="13"/>
        <v>-2.6645352591003757E-14</v>
      </c>
      <c r="P44" s="2"/>
    </row>
    <row r="45" spans="1:16" ht="15.75">
      <c r="A45" s="2"/>
      <c r="B45" s="48" t="s">
        <v>338</v>
      </c>
      <c r="C45" s="380"/>
      <c r="D45" s="380"/>
      <c r="E45" s="380"/>
      <c r="F45" s="380"/>
      <c r="G45" s="380"/>
      <c r="H45" s="380"/>
      <c r="I45" s="380"/>
      <c r="J45" s="380"/>
      <c r="K45" s="380"/>
      <c r="L45" s="380"/>
      <c r="M45" s="380"/>
      <c r="N45" s="380"/>
      <c r="O45" s="268"/>
      <c r="P45" s="2"/>
    </row>
    <row r="46" spans="1:16" ht="15.75">
      <c r="A46" s="2"/>
      <c r="B46" s="48" t="s">
        <v>356</v>
      </c>
      <c r="C46" s="380"/>
      <c r="D46" s="380"/>
      <c r="E46" s="380"/>
      <c r="F46" s="380"/>
      <c r="G46" s="380"/>
      <c r="H46" s="380"/>
      <c r="I46" s="380"/>
      <c r="J46" s="380"/>
      <c r="K46" s="380"/>
      <c r="L46" s="380"/>
      <c r="M46" s="380"/>
      <c r="N46" s="380"/>
      <c r="O46" s="268"/>
      <c r="P46" s="2"/>
    </row>
    <row r="47" spans="1:16">
      <c r="A47" s="2"/>
      <c r="B47" s="329"/>
      <c r="C47" s="268"/>
      <c r="D47" s="268"/>
      <c r="E47" s="268"/>
      <c r="F47" s="268"/>
      <c r="G47" s="268"/>
      <c r="H47" s="268"/>
      <c r="I47" s="268"/>
      <c r="J47" s="268"/>
      <c r="K47" s="268"/>
      <c r="L47" s="268"/>
      <c r="M47" s="268"/>
      <c r="N47" s="268"/>
      <c r="O47" s="268"/>
      <c r="P47" s="329"/>
    </row>
    <row r="48" spans="1:16" ht="16.5" thickBot="1">
      <c r="A48" s="2"/>
      <c r="B48" s="353" t="s">
        <v>340</v>
      </c>
      <c r="C48" s="268"/>
      <c r="D48" s="268"/>
      <c r="E48" s="268"/>
      <c r="F48" s="268"/>
      <c r="G48" s="268"/>
      <c r="H48" s="268"/>
      <c r="I48" s="268"/>
      <c r="J48" s="268"/>
      <c r="K48" s="268"/>
      <c r="L48" s="268"/>
      <c r="M48" s="268"/>
      <c r="N48" s="268"/>
      <c r="O48" s="268"/>
      <c r="P48" s="329"/>
    </row>
    <row r="49" spans="1:16" ht="24.95" customHeight="1" thickBot="1">
      <c r="A49" s="2"/>
      <c r="B49" s="407" t="s">
        <v>357</v>
      </c>
      <c r="C49" s="413">
        <v>34.509989339999997</v>
      </c>
      <c r="D49" s="414">
        <v>34.12373375</v>
      </c>
      <c r="E49" s="414">
        <v>34.447763250000001</v>
      </c>
      <c r="F49" s="414">
        <v>34.14188566</v>
      </c>
      <c r="G49" s="414">
        <v>34.312159430000001</v>
      </c>
      <c r="H49" s="414">
        <v>34.463031890000003</v>
      </c>
      <c r="I49" s="414">
        <v>35.501049960000003</v>
      </c>
      <c r="J49" s="414">
        <v>35.26072027</v>
      </c>
      <c r="K49" s="414">
        <v>35.43829221</v>
      </c>
      <c r="L49" s="414">
        <v>35.754606600000002</v>
      </c>
      <c r="M49" s="414">
        <v>37.8477581</v>
      </c>
      <c r="N49" s="415">
        <v>56.46924851</v>
      </c>
      <c r="O49" s="416">
        <f>SUM(C49:N49)</f>
        <v>442.27023896999998</v>
      </c>
      <c r="P49" s="329"/>
    </row>
    <row r="50" spans="1:16" ht="15.75">
      <c r="B50" s="353" t="s">
        <v>18</v>
      </c>
      <c r="C50" s="268"/>
      <c r="D50" s="268"/>
      <c r="E50" s="268"/>
      <c r="F50" s="268"/>
      <c r="G50" s="268"/>
      <c r="H50" s="268"/>
      <c r="I50" s="268"/>
      <c r="J50" s="268"/>
      <c r="K50" s="268"/>
      <c r="L50" s="268"/>
      <c r="M50" s="268"/>
      <c r="N50" s="268"/>
      <c r="O50" s="268"/>
    </row>
    <row r="51" spans="1:16" ht="15.75">
      <c r="B51" s="353" t="s">
        <v>512</v>
      </c>
      <c r="C51" s="268"/>
      <c r="D51" s="268"/>
      <c r="E51" s="268"/>
      <c r="F51" s="268"/>
      <c r="G51" s="268"/>
      <c r="H51" s="268"/>
      <c r="I51" s="268"/>
      <c r="J51" s="268"/>
      <c r="K51" s="268"/>
      <c r="L51" s="268"/>
      <c r="M51" s="268"/>
      <c r="N51" s="268"/>
      <c r="O51" s="268"/>
    </row>
    <row r="52" spans="1:16" ht="15.75">
      <c r="B52" s="353" t="s">
        <v>55</v>
      </c>
      <c r="C52" s="2"/>
      <c r="D52" s="2"/>
      <c r="E52" s="2"/>
      <c r="F52" s="2"/>
      <c r="G52" s="2"/>
      <c r="H52" s="2"/>
      <c r="I52" s="2"/>
      <c r="J52" s="2"/>
      <c r="K52" s="2"/>
      <c r="L52" s="2"/>
      <c r="M52" s="2"/>
      <c r="N52" s="2"/>
      <c r="O52" s="2"/>
    </row>
    <row r="53" spans="1:16" ht="15.75" thickBot="1">
      <c r="B53" s="2"/>
      <c r="C53" s="2"/>
      <c r="D53" s="2"/>
      <c r="E53" s="2"/>
      <c r="F53" s="2"/>
      <c r="G53" s="2"/>
      <c r="H53" s="2"/>
      <c r="I53" s="2"/>
      <c r="J53" s="2"/>
      <c r="K53" s="2"/>
      <c r="L53" s="2"/>
      <c r="M53" s="2"/>
      <c r="N53" s="2"/>
      <c r="O53" s="2"/>
    </row>
    <row r="54" spans="1:16"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511</v>
      </c>
    </row>
    <row r="55" spans="1:16" ht="15.75">
      <c r="B55" s="358"/>
      <c r="C55" s="359"/>
      <c r="D55" s="359"/>
      <c r="E55" s="359"/>
      <c r="F55" s="359"/>
      <c r="G55" s="359"/>
      <c r="H55" s="359"/>
      <c r="I55" s="359"/>
      <c r="J55" s="359"/>
      <c r="K55" s="359"/>
      <c r="L55" s="359"/>
      <c r="M55" s="359"/>
      <c r="N55" s="359"/>
      <c r="O55" s="360"/>
    </row>
    <row r="56" spans="1:16" ht="24.95" customHeight="1">
      <c r="B56" s="390" t="s">
        <v>239</v>
      </c>
      <c r="C56" s="391">
        <f t="shared" ref="C56:O56" si="19">C7/$O$93</f>
        <v>1.9524384062405645E-2</v>
      </c>
      <c r="D56" s="391">
        <f t="shared" si="19"/>
        <v>1.5630066175419358E-2</v>
      </c>
      <c r="E56" s="391">
        <f t="shared" si="19"/>
        <v>1.6622367648106314E-2</v>
      </c>
      <c r="F56" s="391">
        <f t="shared" si="19"/>
        <v>3.3042323634393411E-2</v>
      </c>
      <c r="G56" s="391">
        <f t="shared" si="19"/>
        <v>1.7653152535860191E-2</v>
      </c>
      <c r="H56" s="391">
        <f t="shared" si="19"/>
        <v>1.595737510763514E-2</v>
      </c>
      <c r="I56" s="391">
        <f t="shared" si="19"/>
        <v>1.7040161090739105E-2</v>
      </c>
      <c r="J56" s="391">
        <f t="shared" si="19"/>
        <v>1.6285179614714412E-2</v>
      </c>
      <c r="K56" s="391">
        <f t="shared" si="19"/>
        <v>1.518635031476571E-2</v>
      </c>
      <c r="L56" s="391">
        <f t="shared" si="19"/>
        <v>1.7260162238028714E-2</v>
      </c>
      <c r="M56" s="391">
        <f t="shared" si="19"/>
        <v>1.6880694774625577E-2</v>
      </c>
      <c r="N56" s="391">
        <f t="shared" si="19"/>
        <v>2.0692411293458765E-2</v>
      </c>
      <c r="O56" s="392">
        <f t="shared" si="19"/>
        <v>0.22177462849015231</v>
      </c>
    </row>
    <row r="57" spans="1:16" ht="21" customHeight="1">
      <c r="B57" s="376" t="s">
        <v>240</v>
      </c>
      <c r="C57" s="393">
        <f t="shared" ref="C57:O57" si="20">C8/$O$93</f>
        <v>1.9349925424856397E-2</v>
      </c>
      <c r="D57" s="393">
        <f t="shared" si="20"/>
        <v>1.5342134684479442E-2</v>
      </c>
      <c r="E57" s="393">
        <f t="shared" si="20"/>
        <v>1.646781304021289E-2</v>
      </c>
      <c r="F57" s="393">
        <f t="shared" si="20"/>
        <v>3.2635195820509888E-2</v>
      </c>
      <c r="G57" s="393">
        <f t="shared" si="20"/>
        <v>1.7486924868218581E-2</v>
      </c>
      <c r="H57" s="393">
        <f t="shared" si="20"/>
        <v>1.5698929777372157E-2</v>
      </c>
      <c r="I57" s="393">
        <f t="shared" si="20"/>
        <v>1.6741994807411776E-2</v>
      </c>
      <c r="J57" s="393">
        <f t="shared" si="20"/>
        <v>1.6049281318323529E-2</v>
      </c>
      <c r="K57" s="393">
        <f t="shared" si="20"/>
        <v>1.5020942801860405E-2</v>
      </c>
      <c r="L57" s="393">
        <f t="shared" si="20"/>
        <v>1.7049236265720094E-2</v>
      </c>
      <c r="M57" s="393">
        <f t="shared" si="20"/>
        <v>1.6311408717536661E-2</v>
      </c>
      <c r="N57" s="393">
        <f t="shared" si="20"/>
        <v>2.0399915046364504E-2</v>
      </c>
      <c r="O57" s="394">
        <f t="shared" si="20"/>
        <v>0.21855370257286633</v>
      </c>
    </row>
    <row r="58" spans="1:16" ht="18.75">
      <c r="B58" s="371" t="s">
        <v>351</v>
      </c>
      <c r="C58" s="393">
        <f t="shared" ref="C58:O58" si="21">C9/$O$93</f>
        <v>1.6615710967142861E-2</v>
      </c>
      <c r="D58" s="393">
        <f t="shared" si="21"/>
        <v>1.2415250203265345E-2</v>
      </c>
      <c r="E58" s="393">
        <f t="shared" si="21"/>
        <v>1.2880942393147004E-2</v>
      </c>
      <c r="F58" s="393">
        <f t="shared" si="21"/>
        <v>2.978827577195357E-2</v>
      </c>
      <c r="G58" s="393">
        <f t="shared" si="21"/>
        <v>1.3965082274716522E-2</v>
      </c>
      <c r="H58" s="393">
        <f t="shared" si="21"/>
        <v>1.2927845191387736E-2</v>
      </c>
      <c r="I58" s="393">
        <f t="shared" si="21"/>
        <v>1.422074065161321E-2</v>
      </c>
      <c r="J58" s="393">
        <f t="shared" si="21"/>
        <v>1.3084532998104676E-2</v>
      </c>
      <c r="K58" s="393">
        <f t="shared" si="21"/>
        <v>1.2334799979173265E-2</v>
      </c>
      <c r="L58" s="393">
        <f t="shared" si="21"/>
        <v>1.4021183785973871E-2</v>
      </c>
      <c r="M58" s="393">
        <f t="shared" si="21"/>
        <v>1.3327820031503856E-2</v>
      </c>
      <c r="N58" s="393">
        <f t="shared" si="21"/>
        <v>1.3768589565894345E-2</v>
      </c>
      <c r="O58" s="394">
        <f t="shared" si="21"/>
        <v>0.17935077381387629</v>
      </c>
    </row>
    <row r="59" spans="1:16" ht="15.75">
      <c r="B59" s="371" t="s">
        <v>317</v>
      </c>
      <c r="C59" s="393">
        <f t="shared" ref="C59:O59" si="22">C10/$O$93</f>
        <v>2.2062473775587791E-3</v>
      </c>
      <c r="D59" s="393">
        <f t="shared" si="22"/>
        <v>2.3648929373706285E-3</v>
      </c>
      <c r="E59" s="393">
        <f t="shared" si="22"/>
        <v>3.3767803738445254E-3</v>
      </c>
      <c r="F59" s="393">
        <f t="shared" si="22"/>
        <v>2.6615297108448202E-3</v>
      </c>
      <c r="G59" s="393">
        <f t="shared" si="22"/>
        <v>3.1284664866836195E-3</v>
      </c>
      <c r="H59" s="393">
        <f t="shared" si="22"/>
        <v>2.7872082160123979E-3</v>
      </c>
      <c r="I59" s="393">
        <f t="shared" si="22"/>
        <v>2.2131193003852496E-3</v>
      </c>
      <c r="J59" s="393">
        <f t="shared" si="22"/>
        <v>2.4106459031347431E-3</v>
      </c>
      <c r="K59" s="393">
        <f t="shared" si="22"/>
        <v>2.1547959684343021E-3</v>
      </c>
      <c r="L59" s="393">
        <f t="shared" si="22"/>
        <v>2.2009701245420841E-3</v>
      </c>
      <c r="M59" s="393">
        <f t="shared" si="22"/>
        <v>2.1900089309425325E-3</v>
      </c>
      <c r="N59" s="393">
        <f t="shared" si="22"/>
        <v>6.6728454865090025E-3</v>
      </c>
      <c r="O59" s="394">
        <f t="shared" si="22"/>
        <v>3.4367510816262679E-2</v>
      </c>
    </row>
    <row r="60" spans="1:16" ht="15.75">
      <c r="B60" s="371" t="s">
        <v>318</v>
      </c>
      <c r="C60" s="393">
        <f t="shared" ref="C60:O60" si="23">C11/$O$93</f>
        <v>5.2796708015475421E-4</v>
      </c>
      <c r="D60" s="393">
        <f t="shared" si="23"/>
        <v>5.6199154384347033E-4</v>
      </c>
      <c r="E60" s="393">
        <f t="shared" si="23"/>
        <v>2.1009027322136048E-4</v>
      </c>
      <c r="F60" s="393">
        <f t="shared" si="23"/>
        <v>1.8539033771149591E-4</v>
      </c>
      <c r="G60" s="393">
        <f t="shared" si="23"/>
        <v>3.9337610681843791E-4</v>
      </c>
      <c r="H60" s="393">
        <f t="shared" si="23"/>
        <v>-1.6123630027974691E-5</v>
      </c>
      <c r="I60" s="393">
        <f t="shared" si="23"/>
        <v>3.0813485541331511E-4</v>
      </c>
      <c r="J60" s="393">
        <f t="shared" si="23"/>
        <v>5.5410241708411063E-4</v>
      </c>
      <c r="K60" s="393">
        <f t="shared" si="23"/>
        <v>5.3134685425283864E-4</v>
      </c>
      <c r="L60" s="393">
        <f t="shared" si="23"/>
        <v>8.2708235520413816E-4</v>
      </c>
      <c r="M60" s="393">
        <f t="shared" si="23"/>
        <v>7.9357975509027371E-4</v>
      </c>
      <c r="N60" s="393">
        <f t="shared" si="23"/>
        <v>-4.152000603884474E-5</v>
      </c>
      <c r="O60" s="394">
        <f t="shared" si="23"/>
        <v>4.8354179427273743E-3</v>
      </c>
    </row>
    <row r="61" spans="1:16" ht="21" customHeight="1">
      <c r="B61" s="376" t="s">
        <v>244</v>
      </c>
      <c r="C61" s="393">
        <f t="shared" ref="C61:O61" si="24">C12/$O$93</f>
        <v>0</v>
      </c>
      <c r="D61" s="393">
        <f t="shared" si="24"/>
        <v>0</v>
      </c>
      <c r="E61" s="393">
        <f t="shared" si="24"/>
        <v>0</v>
      </c>
      <c r="F61" s="393">
        <f t="shared" si="24"/>
        <v>2.99486698170521E-7</v>
      </c>
      <c r="G61" s="393">
        <f t="shared" si="24"/>
        <v>0</v>
      </c>
      <c r="H61" s="393">
        <f t="shared" si="24"/>
        <v>0</v>
      </c>
      <c r="I61" s="393">
        <f t="shared" si="24"/>
        <v>0</v>
      </c>
      <c r="J61" s="393">
        <f t="shared" si="24"/>
        <v>0</v>
      </c>
      <c r="K61" s="393">
        <f t="shared" si="24"/>
        <v>0</v>
      </c>
      <c r="L61" s="393">
        <f t="shared" si="24"/>
        <v>1.804377798877357E-7</v>
      </c>
      <c r="M61" s="393">
        <f t="shared" si="24"/>
        <v>0</v>
      </c>
      <c r="N61" s="393">
        <f t="shared" si="24"/>
        <v>0</v>
      </c>
      <c r="O61" s="394">
        <f t="shared" si="24"/>
        <v>4.7992447805825672E-7</v>
      </c>
    </row>
    <row r="62" spans="1:16" ht="21" customHeight="1">
      <c r="B62" s="376" t="s">
        <v>245</v>
      </c>
      <c r="C62" s="393">
        <f t="shared" ref="C62:O62" si="25">C13/$O$93</f>
        <v>1.7445863754924753E-4</v>
      </c>
      <c r="D62" s="393">
        <f t="shared" si="25"/>
        <v>2.8793149093991351E-4</v>
      </c>
      <c r="E62" s="393">
        <f t="shared" si="25"/>
        <v>1.5455460789342529E-4</v>
      </c>
      <c r="F62" s="393">
        <f t="shared" si="25"/>
        <v>4.0682832718535257E-4</v>
      </c>
      <c r="G62" s="393">
        <f t="shared" si="25"/>
        <v>1.6622766764161275E-4</v>
      </c>
      <c r="H62" s="393">
        <f t="shared" si="25"/>
        <v>2.5844533026298081E-4</v>
      </c>
      <c r="I62" s="393">
        <f t="shared" si="25"/>
        <v>2.9816628332733088E-4</v>
      </c>
      <c r="J62" s="393">
        <f t="shared" si="25"/>
        <v>2.358982963908806E-4</v>
      </c>
      <c r="K62" s="393">
        <f t="shared" si="25"/>
        <v>1.654075129053029E-4</v>
      </c>
      <c r="L62" s="393">
        <f t="shared" si="25"/>
        <v>2.1074553452873364E-4</v>
      </c>
      <c r="M62" s="393">
        <f t="shared" si="25"/>
        <v>5.6928605708891293E-4</v>
      </c>
      <c r="N62" s="393">
        <f t="shared" si="25"/>
        <v>2.9249624709426058E-4</v>
      </c>
      <c r="O62" s="394">
        <f t="shared" si="25"/>
        <v>3.2204459928079541E-3</v>
      </c>
    </row>
    <row r="63" spans="1:16" ht="24.95" customHeight="1">
      <c r="B63" s="390" t="s">
        <v>246</v>
      </c>
      <c r="C63" s="391">
        <f t="shared" ref="C63:O63" si="26">C14/$O$93</f>
        <v>2.0262659312735777E-2</v>
      </c>
      <c r="D63" s="391">
        <f t="shared" si="26"/>
        <v>1.7844735344887175E-2</v>
      </c>
      <c r="E63" s="391">
        <f t="shared" si="26"/>
        <v>1.9493740237352074E-2</v>
      </c>
      <c r="F63" s="391">
        <f t="shared" si="26"/>
        <v>2.132782765918359E-2</v>
      </c>
      <c r="G63" s="391">
        <f t="shared" si="26"/>
        <v>2.4615710646511111E-2</v>
      </c>
      <c r="H63" s="391">
        <f t="shared" si="26"/>
        <v>2.1454776123734479E-2</v>
      </c>
      <c r="I63" s="391">
        <f t="shared" si="26"/>
        <v>2.1813036312193737E-2</v>
      </c>
      <c r="J63" s="391">
        <f t="shared" si="26"/>
        <v>1.841892772075435E-2</v>
      </c>
      <c r="K63" s="391">
        <f t="shared" si="26"/>
        <v>1.7156773427808518E-2</v>
      </c>
      <c r="L63" s="391">
        <f t="shared" si="26"/>
        <v>1.7814702070305253E-2</v>
      </c>
      <c r="M63" s="391">
        <f t="shared" si="26"/>
        <v>1.8317156184177501E-2</v>
      </c>
      <c r="N63" s="391">
        <f t="shared" si="26"/>
        <v>2.7679597280882689E-2</v>
      </c>
      <c r="O63" s="392">
        <f t="shared" si="26"/>
        <v>0.24619964232052624</v>
      </c>
    </row>
    <row r="64" spans="1:16" ht="21" customHeight="1">
      <c r="B64" s="376" t="s">
        <v>247</v>
      </c>
      <c r="C64" s="393">
        <f t="shared" ref="C64:O64" si="27">C15/$O$93</f>
        <v>1.8158533350976946E-2</v>
      </c>
      <c r="D64" s="393">
        <f t="shared" si="27"/>
        <v>1.5765847187207836E-2</v>
      </c>
      <c r="E64" s="393">
        <f t="shared" si="27"/>
        <v>1.4388418231855271E-2</v>
      </c>
      <c r="F64" s="393">
        <f t="shared" si="27"/>
        <v>1.8129526749173293E-2</v>
      </c>
      <c r="G64" s="393">
        <f t="shared" si="27"/>
        <v>2.0881021791181467E-2</v>
      </c>
      <c r="H64" s="393">
        <f t="shared" si="27"/>
        <v>1.874855771262373E-2</v>
      </c>
      <c r="I64" s="393">
        <f t="shared" si="27"/>
        <v>1.9172682434964186E-2</v>
      </c>
      <c r="J64" s="393">
        <f t="shared" si="27"/>
        <v>1.6005174844117769E-2</v>
      </c>
      <c r="K64" s="393">
        <f t="shared" si="27"/>
        <v>1.3971723446816329E-2</v>
      </c>
      <c r="L64" s="393">
        <f t="shared" si="27"/>
        <v>1.5328378607846135E-2</v>
      </c>
      <c r="M64" s="393">
        <f t="shared" si="27"/>
        <v>1.5745078876047251E-2</v>
      </c>
      <c r="N64" s="393">
        <f t="shared" si="27"/>
        <v>2.4007207690796579E-2</v>
      </c>
      <c r="O64" s="394">
        <f t="shared" si="27"/>
        <v>0.21030215092360682</v>
      </c>
    </row>
    <row r="65" spans="2:15" ht="15.75">
      <c r="B65" s="371" t="s">
        <v>321</v>
      </c>
      <c r="C65" s="393">
        <f t="shared" ref="C65:O65" si="28">C16/$O$93</f>
        <v>1.0765388698810784E-2</v>
      </c>
      <c r="D65" s="393">
        <f t="shared" si="28"/>
        <v>1.1650188475173436E-2</v>
      </c>
      <c r="E65" s="393">
        <f t="shared" si="28"/>
        <v>1.0627265253540547E-2</v>
      </c>
      <c r="F65" s="393">
        <f t="shared" si="28"/>
        <v>1.2627044531934939E-2</v>
      </c>
      <c r="G65" s="393">
        <f t="shared" si="28"/>
        <v>1.3613959219606604E-2</v>
      </c>
      <c r="H65" s="393">
        <f t="shared" si="28"/>
        <v>1.2267436619410883E-2</v>
      </c>
      <c r="I65" s="393">
        <f t="shared" si="28"/>
        <v>1.1344389814723868E-2</v>
      </c>
      <c r="J65" s="393">
        <f t="shared" si="28"/>
        <v>1.1609106301407488E-2</v>
      </c>
      <c r="K65" s="393">
        <f t="shared" si="28"/>
        <v>1.0391498061930904E-2</v>
      </c>
      <c r="L65" s="393">
        <f t="shared" si="28"/>
        <v>1.010195147869852E-2</v>
      </c>
      <c r="M65" s="393">
        <f t="shared" si="28"/>
        <v>1.0683934979191451E-2</v>
      </c>
      <c r="N65" s="393">
        <f t="shared" si="28"/>
        <v>1.8777321143324349E-2</v>
      </c>
      <c r="O65" s="394">
        <f t="shared" si="28"/>
        <v>0.14445948457775379</v>
      </c>
    </row>
    <row r="66" spans="2:15" ht="15.75">
      <c r="B66" s="395" t="s">
        <v>322</v>
      </c>
      <c r="C66" s="393">
        <f t="shared" ref="C66:O66" si="29">C17/$O$93</f>
        <v>7.4944020829468116E-3</v>
      </c>
      <c r="D66" s="393">
        <f t="shared" si="29"/>
        <v>7.4497220857570575E-3</v>
      </c>
      <c r="E66" s="393">
        <f t="shared" si="29"/>
        <v>7.3495780941350451E-3</v>
      </c>
      <c r="F66" s="393">
        <f t="shared" si="29"/>
        <v>8.3155855388305014E-3</v>
      </c>
      <c r="G66" s="393">
        <f t="shared" si="29"/>
        <v>7.6063372489877665E-3</v>
      </c>
      <c r="H66" s="393">
        <f t="shared" si="29"/>
        <v>7.9205918615194611E-3</v>
      </c>
      <c r="I66" s="393">
        <f t="shared" si="29"/>
        <v>7.6080419566494596E-3</v>
      </c>
      <c r="J66" s="393">
        <f t="shared" si="29"/>
        <v>8.0081370337629649E-3</v>
      </c>
      <c r="K66" s="393">
        <f t="shared" si="29"/>
        <v>6.8945711686984115E-3</v>
      </c>
      <c r="L66" s="393">
        <f t="shared" si="29"/>
        <v>7.0757699756627277E-3</v>
      </c>
      <c r="M66" s="393">
        <f t="shared" si="29"/>
        <v>7.1945646220083169E-3</v>
      </c>
      <c r="N66" s="393">
        <f t="shared" si="29"/>
        <v>1.3317481104417453E-2</v>
      </c>
      <c r="O66" s="394">
        <f t="shared" si="29"/>
        <v>9.6234782773375993E-2</v>
      </c>
    </row>
    <row r="67" spans="2:15" ht="15.75">
      <c r="B67" s="395" t="s">
        <v>323</v>
      </c>
      <c r="C67" s="393">
        <f t="shared" ref="C67:O67" si="30">C18/$O$93</f>
        <v>3.2709866158639731E-3</v>
      </c>
      <c r="D67" s="393">
        <f t="shared" si="30"/>
        <v>4.2004663894163793E-3</v>
      </c>
      <c r="E67" s="393">
        <f t="shared" si="30"/>
        <v>3.2776871594055014E-3</v>
      </c>
      <c r="F67" s="393">
        <f t="shared" si="30"/>
        <v>4.3114589931044387E-3</v>
      </c>
      <c r="G67" s="393">
        <f t="shared" si="30"/>
        <v>6.0076219706188374E-3</v>
      </c>
      <c r="H67" s="393">
        <f t="shared" si="30"/>
        <v>4.3468447578914248E-3</v>
      </c>
      <c r="I67" s="393">
        <f t="shared" si="30"/>
        <v>3.7363478580744089E-3</v>
      </c>
      <c r="J67" s="393">
        <f t="shared" si="30"/>
        <v>3.6009692676445227E-3</v>
      </c>
      <c r="K67" s="393">
        <f t="shared" si="30"/>
        <v>3.4969268932324923E-3</v>
      </c>
      <c r="L67" s="393">
        <f t="shared" si="30"/>
        <v>3.0261815030357929E-3</v>
      </c>
      <c r="M67" s="393">
        <f t="shared" si="30"/>
        <v>3.4893703571831332E-3</v>
      </c>
      <c r="N67" s="393">
        <f t="shared" si="30"/>
        <v>5.4598400389068965E-3</v>
      </c>
      <c r="O67" s="394">
        <f t="shared" si="30"/>
        <v>4.8224701804377795E-2</v>
      </c>
    </row>
    <row r="68" spans="2:15" ht="15.75">
      <c r="B68" s="371" t="s">
        <v>352</v>
      </c>
      <c r="C68" s="393">
        <f t="shared" ref="C68:O68" si="31">C19/$O$93</f>
        <v>4.1129071227449824E-3</v>
      </c>
      <c r="D68" s="393">
        <f t="shared" si="31"/>
        <v>1.3388718214211658E-3</v>
      </c>
      <c r="E68" s="393">
        <f t="shared" si="31"/>
        <v>1.0675757520362914E-3</v>
      </c>
      <c r="F68" s="393">
        <f t="shared" si="31"/>
        <v>1.9460635720314166E-3</v>
      </c>
      <c r="G68" s="393">
        <f t="shared" si="31"/>
        <v>1.8134092795403203E-3</v>
      </c>
      <c r="H68" s="393">
        <f t="shared" si="31"/>
        <v>3.0815751631579525E-3</v>
      </c>
      <c r="I68" s="393">
        <f t="shared" si="31"/>
        <v>4.6938061921807869E-3</v>
      </c>
      <c r="J68" s="393">
        <f t="shared" si="31"/>
        <v>1.3175221463728732E-3</v>
      </c>
      <c r="K68" s="393">
        <f t="shared" si="31"/>
        <v>1.1707582161033442E-3</v>
      </c>
      <c r="L68" s="393">
        <f t="shared" si="31"/>
        <v>2.0809434344839879E-3</v>
      </c>
      <c r="M68" s="393">
        <f t="shared" si="31"/>
        <v>1.8136419292291016E-3</v>
      </c>
      <c r="N68" s="393">
        <f t="shared" si="31"/>
        <v>2.5638790921360412E-3</v>
      </c>
      <c r="O68" s="394">
        <f t="shared" si="31"/>
        <v>2.7000953721438261E-2</v>
      </c>
    </row>
    <row r="69" spans="2:15" ht="15.75">
      <c r="B69" s="371" t="s">
        <v>325</v>
      </c>
      <c r="C69" s="393">
        <f t="shared" ref="C69:O69" si="32">C20/$O$93</f>
        <v>3.2802375294211802E-3</v>
      </c>
      <c r="D69" s="393">
        <f t="shared" si="32"/>
        <v>2.7767868906132336E-3</v>
      </c>
      <c r="E69" s="393">
        <f t="shared" si="32"/>
        <v>2.6935772262784343E-3</v>
      </c>
      <c r="F69" s="393">
        <f t="shared" si="32"/>
        <v>3.5564186452069391E-3</v>
      </c>
      <c r="G69" s="393">
        <f t="shared" si="32"/>
        <v>5.4536532920345451E-3</v>
      </c>
      <c r="H69" s="393">
        <f t="shared" si="32"/>
        <v>3.3995459300548946E-3</v>
      </c>
      <c r="I69" s="393">
        <f t="shared" si="32"/>
        <v>3.1344864280595302E-3</v>
      </c>
      <c r="J69" s="393">
        <f t="shared" si="32"/>
        <v>3.0785463963374044E-3</v>
      </c>
      <c r="K69" s="393">
        <f t="shared" si="32"/>
        <v>2.4094671687820814E-3</v>
      </c>
      <c r="L69" s="393">
        <f t="shared" si="32"/>
        <v>3.1454836946636262E-3</v>
      </c>
      <c r="M69" s="393">
        <f t="shared" si="32"/>
        <v>3.2475019676266974E-3</v>
      </c>
      <c r="N69" s="393">
        <f t="shared" si="32"/>
        <v>2.666007455336193E-3</v>
      </c>
      <c r="O69" s="394">
        <f t="shared" si="32"/>
        <v>3.8841712624414756E-2</v>
      </c>
    </row>
    <row r="70" spans="2:15" ht="21" customHeight="1">
      <c r="B70" s="376" t="s">
        <v>259</v>
      </c>
      <c r="C70" s="393">
        <f t="shared" ref="C70:O70" si="33">C21/$O$93</f>
        <v>2.1093225816426388E-3</v>
      </c>
      <c r="D70" s="393">
        <f t="shared" si="33"/>
        <v>2.0788881576793376E-3</v>
      </c>
      <c r="E70" s="393">
        <f t="shared" si="33"/>
        <v>5.1053220054968042E-3</v>
      </c>
      <c r="F70" s="393">
        <f t="shared" si="33"/>
        <v>3.1983009100102957E-3</v>
      </c>
      <c r="G70" s="393">
        <f t="shared" si="33"/>
        <v>3.7346888553296451E-3</v>
      </c>
      <c r="H70" s="393">
        <f t="shared" si="33"/>
        <v>2.7165676382477164E-3</v>
      </c>
      <c r="I70" s="393">
        <f t="shared" si="33"/>
        <v>2.6403538772295523E-3</v>
      </c>
      <c r="J70" s="393">
        <f t="shared" si="33"/>
        <v>2.4137528766365818E-3</v>
      </c>
      <c r="K70" s="393">
        <f t="shared" si="33"/>
        <v>3.18504998099219E-3</v>
      </c>
      <c r="L70" s="393">
        <f t="shared" si="33"/>
        <v>2.4863234624591204E-3</v>
      </c>
      <c r="M70" s="393">
        <f t="shared" si="33"/>
        <v>2.5720773081302504E-3</v>
      </c>
      <c r="N70" s="393">
        <f t="shared" si="33"/>
        <v>3.6829443621378966E-3</v>
      </c>
      <c r="O70" s="394">
        <f t="shared" si="33"/>
        <v>3.5923592015992024E-2</v>
      </c>
    </row>
    <row r="71" spans="2:15" ht="15.75">
      <c r="B71" s="371" t="s">
        <v>260</v>
      </c>
      <c r="C71" s="393">
        <f t="shared" ref="C71:O71" si="34">C22/$O$93</f>
        <v>1.8935837425924109E-3</v>
      </c>
      <c r="D71" s="393">
        <f t="shared" si="34"/>
        <v>1.9455403715890531E-3</v>
      </c>
      <c r="E71" s="393">
        <f t="shared" si="34"/>
        <v>4.9876814095428301E-3</v>
      </c>
      <c r="F71" s="393">
        <f t="shared" si="34"/>
        <v>2.9936533943947879E-3</v>
      </c>
      <c r="G71" s="393">
        <f t="shared" si="34"/>
        <v>2.9330871867349127E-3</v>
      </c>
      <c r="H71" s="393">
        <f t="shared" si="34"/>
        <v>2.6602227392528567E-3</v>
      </c>
      <c r="I71" s="393">
        <f t="shared" si="34"/>
        <v>2.5383449149104904E-3</v>
      </c>
      <c r="J71" s="393">
        <f t="shared" si="34"/>
        <v>2.075438661158949E-3</v>
      </c>
      <c r="K71" s="393">
        <f t="shared" si="34"/>
        <v>2.6955134455248883E-3</v>
      </c>
      <c r="L71" s="393">
        <f t="shared" si="34"/>
        <v>2.2290758816349994E-3</v>
      </c>
      <c r="M71" s="393">
        <f t="shared" si="34"/>
        <v>2.5053176068711874E-3</v>
      </c>
      <c r="N71" s="393">
        <f t="shared" si="34"/>
        <v>3.5785437702583241E-3</v>
      </c>
      <c r="O71" s="394">
        <f t="shared" si="34"/>
        <v>3.3036003124465696E-2</v>
      </c>
    </row>
    <row r="72" spans="2:15" ht="15.75">
      <c r="B72" s="371" t="s">
        <v>326</v>
      </c>
      <c r="C72" s="393">
        <f t="shared" ref="C72:O72" si="35">C23/$O$93</f>
        <v>2.1573883905022794E-4</v>
      </c>
      <c r="D72" s="393">
        <f t="shared" si="35"/>
        <v>1.3334778609028436E-4</v>
      </c>
      <c r="E72" s="393">
        <f t="shared" si="35"/>
        <v>1.1764059595397381E-4</v>
      </c>
      <c r="F72" s="393">
        <f t="shared" si="35"/>
        <v>2.0464751561550742E-4</v>
      </c>
      <c r="G72" s="393">
        <f t="shared" si="35"/>
        <v>8.0160166859473176E-4</v>
      </c>
      <c r="H72" s="393">
        <f t="shared" si="35"/>
        <v>5.634489899485971E-5</v>
      </c>
      <c r="I72" s="393">
        <f t="shared" si="35"/>
        <v>1.0200896231906201E-4</v>
      </c>
      <c r="J72" s="393">
        <f t="shared" si="35"/>
        <v>3.3831421547763263E-4</v>
      </c>
      <c r="K72" s="393">
        <f t="shared" si="35"/>
        <v>4.8953653546730119E-4</v>
      </c>
      <c r="L72" s="393">
        <f t="shared" si="35"/>
        <v>2.5724758082412046E-4</v>
      </c>
      <c r="M72" s="393">
        <f t="shared" si="35"/>
        <v>6.6759701259062825E-5</v>
      </c>
      <c r="N72" s="393">
        <f t="shared" si="35"/>
        <v>1.0440059187957233E-4</v>
      </c>
      <c r="O72" s="394">
        <f t="shared" si="35"/>
        <v>2.8875888915263362E-3</v>
      </c>
    </row>
    <row r="73" spans="2:15" ht="21" customHeight="1">
      <c r="B73" s="376" t="s">
        <v>327</v>
      </c>
      <c r="C73" s="393">
        <f t="shared" ref="C73:O73" si="36">C24/$O$93</f>
        <v>-5.1966198838068012E-6</v>
      </c>
      <c r="D73" s="393">
        <f t="shared" si="36"/>
        <v>0</v>
      </c>
      <c r="E73" s="393">
        <f t="shared" si="36"/>
        <v>0</v>
      </c>
      <c r="F73" s="393">
        <f t="shared" si="36"/>
        <v>0</v>
      </c>
      <c r="G73" s="393">
        <f t="shared" si="36"/>
        <v>0</v>
      </c>
      <c r="H73" s="393">
        <f t="shared" si="36"/>
        <v>-1.034922713696901E-5</v>
      </c>
      <c r="I73" s="393">
        <f t="shared" si="36"/>
        <v>0</v>
      </c>
      <c r="J73" s="393">
        <f t="shared" si="36"/>
        <v>0</v>
      </c>
      <c r="K73" s="393">
        <f t="shared" si="36"/>
        <v>0</v>
      </c>
      <c r="L73" s="393">
        <f t="shared" si="36"/>
        <v>0</v>
      </c>
      <c r="M73" s="393">
        <f t="shared" si="36"/>
        <v>0</v>
      </c>
      <c r="N73" s="393">
        <f t="shared" si="36"/>
        <v>-1.0554772051788553E-5</v>
      </c>
      <c r="O73" s="394">
        <f t="shared" si="36"/>
        <v>-2.6100619072564365E-5</v>
      </c>
    </row>
    <row r="74" spans="2:15" ht="24.95" customHeight="1">
      <c r="B74" s="390" t="s">
        <v>269</v>
      </c>
      <c r="C74" s="391">
        <f t="shared" ref="C74:O74" si="37">C25/$O$93</f>
        <v>1.1913920738794517E-3</v>
      </c>
      <c r="D74" s="391">
        <f t="shared" si="37"/>
        <v>-4.2371250272839279E-4</v>
      </c>
      <c r="E74" s="391">
        <f t="shared" si="37"/>
        <v>2.079394808357617E-3</v>
      </c>
      <c r="F74" s="391">
        <f t="shared" si="37"/>
        <v>1.4505669071336592E-2</v>
      </c>
      <c r="G74" s="391">
        <f t="shared" si="37"/>
        <v>-3.3940969229628872E-3</v>
      </c>
      <c r="H74" s="391">
        <f t="shared" si="37"/>
        <v>-3.0496279352515733E-3</v>
      </c>
      <c r="I74" s="391">
        <f t="shared" si="37"/>
        <v>-2.4306876275524102E-3</v>
      </c>
      <c r="J74" s="391">
        <f t="shared" si="37"/>
        <v>4.4106474205761763E-5</v>
      </c>
      <c r="K74" s="391">
        <f t="shared" si="37"/>
        <v>1.049219355044078E-3</v>
      </c>
      <c r="L74" s="391">
        <f t="shared" si="37"/>
        <v>1.7208576578739586E-3</v>
      </c>
      <c r="M74" s="391">
        <f t="shared" si="37"/>
        <v>5.6632984148941284E-4</v>
      </c>
      <c r="N74" s="391">
        <f t="shared" si="37"/>
        <v>-3.6072926444320765E-3</v>
      </c>
      <c r="O74" s="392">
        <f t="shared" si="37"/>
        <v>8.2515516492595309E-3</v>
      </c>
    </row>
    <row r="75" spans="2:15" ht="24.95" customHeight="1">
      <c r="B75" s="396" t="s">
        <v>735</v>
      </c>
      <c r="C75" s="391"/>
      <c r="D75" s="391"/>
      <c r="E75" s="391"/>
      <c r="F75" s="391"/>
      <c r="G75" s="391"/>
      <c r="H75" s="391"/>
      <c r="I75" s="391"/>
      <c r="J75" s="391"/>
      <c r="K75" s="391"/>
      <c r="L75" s="391"/>
      <c r="M75" s="391"/>
      <c r="N75" s="391"/>
      <c r="O75" s="392"/>
    </row>
    <row r="76" spans="2:15" ht="21" customHeight="1">
      <c r="B76" s="399" t="s">
        <v>737</v>
      </c>
      <c r="C76" s="391">
        <f t="shared" ref="C76:O76" si="38">C27/$O$93</f>
        <v>3.3746318724148503E-3</v>
      </c>
      <c r="D76" s="391">
        <f t="shared" si="38"/>
        <v>-8.7579734804665117E-4</v>
      </c>
      <c r="E76" s="391">
        <f t="shared" si="38"/>
        <v>-1.8037968372094705E-3</v>
      </c>
      <c r="F76" s="391">
        <f t="shared" si="38"/>
        <v>1.3660559547241236E-2</v>
      </c>
      <c r="G76" s="391">
        <f t="shared" si="38"/>
        <v>-5.1491488311105988E-3</v>
      </c>
      <c r="H76" s="391">
        <f t="shared" si="38"/>
        <v>-2.4158258529413876E-3</v>
      </c>
      <c r="I76" s="391">
        <f t="shared" si="38"/>
        <v>-7.9069029273844685E-5</v>
      </c>
      <c r="J76" s="391">
        <f t="shared" si="38"/>
        <v>-8.1622595966706593E-4</v>
      </c>
      <c r="K76" s="391">
        <f t="shared" si="38"/>
        <v>-7.996648969394646E-4</v>
      </c>
      <c r="L76" s="391">
        <f t="shared" si="38"/>
        <v>1.5264036022074481E-3</v>
      </c>
      <c r="M76" s="391">
        <f t="shared" si="38"/>
        <v>3.771805196771781E-4</v>
      </c>
      <c r="N76" s="391">
        <f t="shared" si="38"/>
        <v>-4.423306895287883E-3</v>
      </c>
      <c r="O76" s="392">
        <f t="shared" si="38"/>
        <v>2.5759398910643471E-3</v>
      </c>
    </row>
    <row r="77" spans="2:15" ht="21" customHeight="1">
      <c r="B77" s="399" t="s">
        <v>736</v>
      </c>
      <c r="C77" s="391">
        <f t="shared" ref="C77:O77" si="39">C28/$O$93</f>
        <v>1.8053511616136849E-3</v>
      </c>
      <c r="D77" s="391">
        <f t="shared" si="39"/>
        <v>-2.4275137692488179E-3</v>
      </c>
      <c r="E77" s="391">
        <f t="shared" si="39"/>
        <v>-3.3702479266571345E-3</v>
      </c>
      <c r="F77" s="391">
        <f t="shared" si="39"/>
        <v>1.2108017700045841E-2</v>
      </c>
      <c r="G77" s="391">
        <f t="shared" si="39"/>
        <v>-6.7094335767515353E-3</v>
      </c>
      <c r="H77" s="391">
        <f t="shared" si="39"/>
        <v>-3.9829712567800556E-3</v>
      </c>
      <c r="I77" s="391">
        <f t="shared" si="39"/>
        <v>-1.693416468403378E-3</v>
      </c>
      <c r="J77" s="391">
        <f t="shared" si="39"/>
        <v>-2.4196448313306951E-3</v>
      </c>
      <c r="K77" s="391">
        <f t="shared" si="39"/>
        <v>-2.4111585384175992E-3</v>
      </c>
      <c r="L77" s="391">
        <f t="shared" si="39"/>
        <v>-9.9473876538364001E-5</v>
      </c>
      <c r="M77" s="391">
        <f t="shared" si="39"/>
        <v>-1.3438793203661853E-3</v>
      </c>
      <c r="N77" s="391">
        <f t="shared" si="39"/>
        <v>-6.9911460669293216E-3</v>
      </c>
      <c r="O77" s="392">
        <f t="shared" si="39"/>
        <v>-1.7535516769763563E-2</v>
      </c>
    </row>
    <row r="78" spans="2:15" ht="24.95" customHeight="1">
      <c r="B78" s="397" t="s">
        <v>328</v>
      </c>
      <c r="C78" s="359"/>
      <c r="D78" s="359"/>
      <c r="E78" s="359"/>
      <c r="F78" s="359"/>
      <c r="G78" s="359"/>
      <c r="H78" s="359"/>
      <c r="I78" s="359"/>
      <c r="J78" s="359"/>
      <c r="K78" s="359"/>
      <c r="L78" s="359"/>
      <c r="M78" s="359"/>
      <c r="N78" s="359"/>
      <c r="O78" s="398"/>
    </row>
    <row r="79" spans="2:15" ht="21" customHeight="1">
      <c r="B79" s="399" t="s">
        <v>329</v>
      </c>
      <c r="C79" s="391">
        <f t="shared" ref="C79:O92" si="40">C30/$O$93</f>
        <v>-7.3827525033013177E-4</v>
      </c>
      <c r="D79" s="391">
        <f t="shared" si="40"/>
        <v>-2.2146691694678168E-3</v>
      </c>
      <c r="E79" s="391">
        <f t="shared" si="40"/>
        <v>-2.8713725892457616E-3</v>
      </c>
      <c r="F79" s="391">
        <f t="shared" si="40"/>
        <v>1.1714495975209819E-2</v>
      </c>
      <c r="G79" s="391">
        <f t="shared" si="40"/>
        <v>-6.9625581106509196E-3</v>
      </c>
      <c r="H79" s="391">
        <f t="shared" si="40"/>
        <v>-5.4974010160993405E-3</v>
      </c>
      <c r="I79" s="391">
        <f t="shared" si="40"/>
        <v>-4.7728752214546318E-3</v>
      </c>
      <c r="J79" s="391">
        <f t="shared" si="40"/>
        <v>-2.133748106039939E-3</v>
      </c>
      <c r="K79" s="391">
        <f t="shared" si="40"/>
        <v>-1.9704231130428088E-3</v>
      </c>
      <c r="L79" s="391">
        <f t="shared" si="40"/>
        <v>-5.5453983227653995E-4</v>
      </c>
      <c r="M79" s="391">
        <f t="shared" si="40"/>
        <v>-1.4364614095519236E-3</v>
      </c>
      <c r="N79" s="391">
        <f t="shared" si="40"/>
        <v>-6.9871859874239238E-3</v>
      </c>
      <c r="O79" s="392">
        <f t="shared" si="40"/>
        <v>-2.4425013830373918E-2</v>
      </c>
    </row>
    <row r="80" spans="2:15" ht="21" customHeight="1">
      <c r="B80" s="399" t="s">
        <v>330</v>
      </c>
      <c r="C80" s="391">
        <f t="shared" si="40"/>
        <v>-9.1273388787937928E-4</v>
      </c>
      <c r="D80" s="391">
        <f t="shared" si="40"/>
        <v>-2.5026006604077305E-3</v>
      </c>
      <c r="E80" s="391">
        <f t="shared" si="40"/>
        <v>-3.0259271971391872E-3</v>
      </c>
      <c r="F80" s="391">
        <f t="shared" si="40"/>
        <v>1.1307667648024468E-2</v>
      </c>
      <c r="G80" s="391">
        <f t="shared" si="40"/>
        <v>-7.1287857782925323E-3</v>
      </c>
      <c r="H80" s="391">
        <f t="shared" si="40"/>
        <v>-5.755846346362321E-3</v>
      </c>
      <c r="I80" s="391">
        <f t="shared" si="40"/>
        <v>-5.0710415047819628E-3</v>
      </c>
      <c r="J80" s="391">
        <f t="shared" si="40"/>
        <v>-2.3696464024308196E-3</v>
      </c>
      <c r="K80" s="391">
        <f t="shared" si="40"/>
        <v>-2.1358306259481115E-3</v>
      </c>
      <c r="L80" s="391">
        <f t="shared" si="40"/>
        <v>-7.6528536680527364E-4</v>
      </c>
      <c r="M80" s="391">
        <f t="shared" si="40"/>
        <v>-2.0057474666408366E-3</v>
      </c>
      <c r="N80" s="391">
        <f t="shared" si="40"/>
        <v>-7.2796822345181844E-3</v>
      </c>
      <c r="O80" s="392">
        <f t="shared" si="40"/>
        <v>-2.7645459823181878E-2</v>
      </c>
    </row>
    <row r="81" spans="2:16" ht="21" customHeight="1">
      <c r="B81" s="399" t="s">
        <v>355</v>
      </c>
      <c r="C81" s="391">
        <f t="shared" si="40"/>
        <v>-2.3075559611312971E-3</v>
      </c>
      <c r="D81" s="391">
        <f t="shared" si="40"/>
        <v>-3.7663855906699835E-3</v>
      </c>
      <c r="E81" s="391">
        <f t="shared" si="40"/>
        <v>-4.4378236786934266E-3</v>
      </c>
      <c r="F81" s="391">
        <f t="shared" si="40"/>
        <v>1.0161954128014425E-2</v>
      </c>
      <c r="G81" s="391">
        <f t="shared" si="40"/>
        <v>-8.5228428562918561E-3</v>
      </c>
      <c r="H81" s="391">
        <f t="shared" si="40"/>
        <v>-7.0645464199380085E-3</v>
      </c>
      <c r="I81" s="391">
        <f t="shared" si="40"/>
        <v>-6.3872226605841643E-3</v>
      </c>
      <c r="J81" s="391">
        <f t="shared" si="40"/>
        <v>-3.7371669777035684E-3</v>
      </c>
      <c r="K81" s="391">
        <f t="shared" si="40"/>
        <v>-3.5819167545209436E-3</v>
      </c>
      <c r="L81" s="391">
        <f t="shared" si="40"/>
        <v>-2.180417311022352E-3</v>
      </c>
      <c r="M81" s="391">
        <f t="shared" si="40"/>
        <v>-3.1575212495952867E-3</v>
      </c>
      <c r="N81" s="391">
        <f t="shared" si="40"/>
        <v>-9.5550251590653616E-3</v>
      </c>
      <c r="O81" s="392">
        <f t="shared" si="40"/>
        <v>-4.4536470491201817E-2</v>
      </c>
    </row>
    <row r="82" spans="2:16" ht="24.95" customHeight="1">
      <c r="B82" s="390" t="s">
        <v>332</v>
      </c>
      <c r="C82" s="391">
        <f t="shared" si="40"/>
        <v>-2.1572753213138486E-4</v>
      </c>
      <c r="D82" s="391">
        <f t="shared" si="40"/>
        <v>-4.7924773907096364E-4</v>
      </c>
      <c r="E82" s="391">
        <f t="shared" si="40"/>
        <v>1.5161564706588529E-3</v>
      </c>
      <c r="F82" s="391">
        <f t="shared" si="40"/>
        <v>-7.1336038535834743E-5</v>
      </c>
      <c r="G82" s="391">
        <f t="shared" si="40"/>
        <v>-2.5114693492234988E-4</v>
      </c>
      <c r="H82" s="391">
        <f t="shared" si="40"/>
        <v>-4.0016315795217677E-4</v>
      </c>
      <c r="I82" s="391">
        <f t="shared" si="40"/>
        <v>3.1107031843994096E-4</v>
      </c>
      <c r="J82" s="391">
        <f t="shared" si="40"/>
        <v>-4.0279383255665055E-4</v>
      </c>
      <c r="K82" s="391">
        <f t="shared" si="40"/>
        <v>8.6794644253820793E-5</v>
      </c>
      <c r="L82" s="391">
        <f t="shared" si="40"/>
        <v>5.3334953499074161E-4</v>
      </c>
      <c r="M82" s="391">
        <f t="shared" si="40"/>
        <v>-4.529591632197956E-4</v>
      </c>
      <c r="N82" s="391">
        <f t="shared" si="40"/>
        <v>4.0186051586651962E-4</v>
      </c>
      <c r="O82" s="392">
        <f t="shared" si="40"/>
        <v>5.7585708582072014E-4</v>
      </c>
    </row>
    <row r="83" spans="2:16" ht="15.75">
      <c r="B83" s="376" t="s">
        <v>276</v>
      </c>
      <c r="C83" s="393">
        <f t="shared" si="40"/>
        <v>5.1116563351486248E-4</v>
      </c>
      <c r="D83" s="393">
        <f t="shared" si="40"/>
        <v>4.7841347944791861E-4</v>
      </c>
      <c r="E83" s="393">
        <f t="shared" si="40"/>
        <v>2.1930075735665929E-3</v>
      </c>
      <c r="F83" s="393">
        <f t="shared" si="40"/>
        <v>6.2665009167403335E-4</v>
      </c>
      <c r="G83" s="393">
        <f t="shared" si="40"/>
        <v>1.2069340019717192E-3</v>
      </c>
      <c r="H83" s="393">
        <f t="shared" si="40"/>
        <v>5.2497038828682341E-4</v>
      </c>
      <c r="I83" s="393">
        <f t="shared" si="40"/>
        <v>1.1180568697319263E-3</v>
      </c>
      <c r="J83" s="393">
        <f t="shared" si="40"/>
        <v>4.928061830861409E-4</v>
      </c>
      <c r="K83" s="393">
        <f t="shared" si="40"/>
        <v>1.0315538598587785E-3</v>
      </c>
      <c r="L83" s="393">
        <f t="shared" si="40"/>
        <v>1.0738449599289892E-3</v>
      </c>
      <c r="M83" s="393">
        <f t="shared" si="40"/>
        <v>1.0967415578946986E-3</v>
      </c>
      <c r="N83" s="393">
        <f t="shared" si="40"/>
        <v>1.8808838158952588E-3</v>
      </c>
      <c r="O83" s="394">
        <f t="shared" si="40"/>
        <v>1.2235028414857744E-2</v>
      </c>
      <c r="P83" s="55"/>
    </row>
    <row r="84" spans="2:16" ht="15.75">
      <c r="B84" s="376" t="s">
        <v>277</v>
      </c>
      <c r="C84" s="393">
        <f t="shared" si="40"/>
        <v>-7.2689316564624731E-4</v>
      </c>
      <c r="D84" s="393">
        <f t="shared" si="40"/>
        <v>-9.5766121851888219E-4</v>
      </c>
      <c r="E84" s="393">
        <f t="shared" si="40"/>
        <v>-6.7685110290774018E-4</v>
      </c>
      <c r="F84" s="393">
        <f t="shared" si="40"/>
        <v>-6.9798613020986811E-4</v>
      </c>
      <c r="G84" s="393">
        <f t="shared" si="40"/>
        <v>-1.4580809368940691E-3</v>
      </c>
      <c r="H84" s="393">
        <f t="shared" si="40"/>
        <v>-9.2513354623900007E-4</v>
      </c>
      <c r="I84" s="393">
        <f t="shared" si="40"/>
        <v>-8.0698655129198536E-4</v>
      </c>
      <c r="J84" s="393">
        <f t="shared" si="40"/>
        <v>-8.956000156427914E-4</v>
      </c>
      <c r="K84" s="393">
        <f t="shared" si="40"/>
        <v>-9.447592156049577E-4</v>
      </c>
      <c r="L84" s="393">
        <f t="shared" si="40"/>
        <v>-5.4049542493824745E-4</v>
      </c>
      <c r="M84" s="393">
        <f t="shared" si="40"/>
        <v>-1.5497007211144943E-3</v>
      </c>
      <c r="N84" s="393">
        <f t="shared" si="40"/>
        <v>-1.4790233000287391E-3</v>
      </c>
      <c r="O84" s="394">
        <f t="shared" si="40"/>
        <v>-1.1659171329037021E-2</v>
      </c>
      <c r="P84" s="55"/>
    </row>
    <row r="85" spans="2:16" ht="24.95" customHeight="1">
      <c r="B85" s="390" t="s">
        <v>333</v>
      </c>
      <c r="C85" s="391">
        <f t="shared" si="40"/>
        <v>9.540027824615178E-4</v>
      </c>
      <c r="D85" s="391">
        <f t="shared" si="40"/>
        <v>2.6939169085387804E-3</v>
      </c>
      <c r="E85" s="391">
        <f t="shared" si="40"/>
        <v>1.3552161185869085E-3</v>
      </c>
      <c r="F85" s="391">
        <f t="shared" si="40"/>
        <v>-1.1643159936673985E-2</v>
      </c>
      <c r="G85" s="391">
        <f t="shared" si="40"/>
        <v>7.2137050455732691E-3</v>
      </c>
      <c r="H85" s="391">
        <f t="shared" si="40"/>
        <v>5.8975641740515172E-3</v>
      </c>
      <c r="I85" s="391">
        <f t="shared" si="40"/>
        <v>4.4618049030146906E-3</v>
      </c>
      <c r="J85" s="391">
        <f t="shared" si="40"/>
        <v>2.5365419385965896E-3</v>
      </c>
      <c r="K85" s="391">
        <f t="shared" si="40"/>
        <v>1.8836284687889881E-3</v>
      </c>
      <c r="L85" s="391">
        <f t="shared" si="40"/>
        <v>2.1190297285798225E-5</v>
      </c>
      <c r="M85" s="391">
        <f t="shared" si="40"/>
        <v>1.8894205727717191E-3</v>
      </c>
      <c r="N85" s="391">
        <f t="shared" si="40"/>
        <v>6.5853254715574046E-3</v>
      </c>
      <c r="O85" s="392">
        <f t="shared" si="40"/>
        <v>2.38491567445532E-2</v>
      </c>
    </row>
    <row r="86" spans="2:16" ht="15.75">
      <c r="B86" s="376" t="s">
        <v>279</v>
      </c>
      <c r="C86" s="393">
        <f t="shared" si="40"/>
        <v>1.5926135102787693E-2</v>
      </c>
      <c r="D86" s="393">
        <f t="shared" si="40"/>
        <v>-5.3813021350591331E-4</v>
      </c>
      <c r="E86" s="393">
        <f t="shared" si="40"/>
        <v>-1.2601541724417671E-3</v>
      </c>
      <c r="F86" s="393">
        <f t="shared" si="40"/>
        <v>8.1760869011630237E-4</v>
      </c>
      <c r="G86" s="393">
        <f t="shared" si="40"/>
        <v>-5.3918259366576534E-4</v>
      </c>
      <c r="H86" s="393">
        <f t="shared" si="40"/>
        <v>4.1707592574403299E-3</v>
      </c>
      <c r="I86" s="393">
        <f t="shared" si="40"/>
        <v>7.6450050384339755E-3</v>
      </c>
      <c r="J86" s="393">
        <f t="shared" si="40"/>
        <v>1.7444895538894164E-3</v>
      </c>
      <c r="K86" s="393">
        <f t="shared" si="40"/>
        <v>7.5631077497298883E-4</v>
      </c>
      <c r="L86" s="393">
        <f t="shared" si="40"/>
        <v>1.8236129755135747E-3</v>
      </c>
      <c r="M86" s="393">
        <f t="shared" si="40"/>
        <v>1.9252911196237E-3</v>
      </c>
      <c r="N86" s="393">
        <f t="shared" si="40"/>
        <v>1.9850884181500036E-3</v>
      </c>
      <c r="O86" s="394">
        <f t="shared" si="40"/>
        <v>3.4456833951314533E-2</v>
      </c>
    </row>
    <row r="87" spans="2:16" ht="15.75">
      <c r="B87" s="376" t="s">
        <v>282</v>
      </c>
      <c r="C87" s="393">
        <f t="shared" si="40"/>
        <v>-7.7188647194119751E-3</v>
      </c>
      <c r="D87" s="393">
        <f t="shared" si="40"/>
        <v>-2.4166464856468261E-4</v>
      </c>
      <c r="E87" s="393">
        <f t="shared" si="40"/>
        <v>2.2016386919897998E-3</v>
      </c>
      <c r="F87" s="393">
        <f t="shared" si="40"/>
        <v>-1.2808831878644681E-2</v>
      </c>
      <c r="G87" s="393">
        <f t="shared" si="40"/>
        <v>2.9664284328651406E-3</v>
      </c>
      <c r="H87" s="393">
        <f t="shared" si="40"/>
        <v>4.8677428488797221E-3</v>
      </c>
      <c r="I87" s="393">
        <f t="shared" si="40"/>
        <v>-9.2254593842196989E-4</v>
      </c>
      <c r="J87" s="393">
        <f t="shared" si="40"/>
        <v>-1.7467106010833544E-3</v>
      </c>
      <c r="K87" s="393">
        <f t="shared" si="40"/>
        <v>3.3636633498492115E-3</v>
      </c>
      <c r="L87" s="393">
        <f t="shared" si="40"/>
        <v>-1.974588228526631E-3</v>
      </c>
      <c r="M87" s="393">
        <f t="shared" si="40"/>
        <v>-1.2778840614507052E-3</v>
      </c>
      <c r="N87" s="393">
        <f t="shared" si="40"/>
        <v>5.530225835070411E-3</v>
      </c>
      <c r="O87" s="394">
        <f t="shared" si="40"/>
        <v>-7.7613909174497125E-3</v>
      </c>
    </row>
    <row r="88" spans="2:16" ht="15.75">
      <c r="B88" s="376" t="s">
        <v>283</v>
      </c>
      <c r="C88" s="393">
        <f t="shared" si="40"/>
        <v>0</v>
      </c>
      <c r="D88" s="393">
        <f t="shared" si="40"/>
        <v>0</v>
      </c>
      <c r="E88" s="393">
        <f t="shared" si="40"/>
        <v>0</v>
      </c>
      <c r="F88" s="393">
        <f t="shared" si="40"/>
        <v>0</v>
      </c>
      <c r="G88" s="393">
        <f t="shared" si="40"/>
        <v>0</v>
      </c>
      <c r="H88" s="393">
        <f t="shared" si="40"/>
        <v>0</v>
      </c>
      <c r="I88" s="393">
        <f t="shared" si="40"/>
        <v>0</v>
      </c>
      <c r="J88" s="393">
        <f t="shared" si="40"/>
        <v>0</v>
      </c>
      <c r="K88" s="393">
        <f t="shared" si="40"/>
        <v>0</v>
      </c>
      <c r="L88" s="393">
        <f t="shared" si="40"/>
        <v>0</v>
      </c>
      <c r="M88" s="393">
        <f t="shared" si="40"/>
        <v>0</v>
      </c>
      <c r="N88" s="393">
        <f t="shared" si="40"/>
        <v>0</v>
      </c>
      <c r="O88" s="394">
        <f t="shared" si="40"/>
        <v>0</v>
      </c>
    </row>
    <row r="89" spans="2:16" ht="15.75">
      <c r="B89" s="376" t="s">
        <v>284</v>
      </c>
      <c r="C89" s="393">
        <f t="shared" si="40"/>
        <v>-6.3440941741515619E-3</v>
      </c>
      <c r="D89" s="393">
        <f t="shared" si="40"/>
        <v>4.0481893018767708E-3</v>
      </c>
      <c r="E89" s="393">
        <f t="shared" si="40"/>
        <v>2.3082984317192158E-3</v>
      </c>
      <c r="F89" s="393">
        <f t="shared" si="40"/>
        <v>1.3983249307897429E-3</v>
      </c>
      <c r="G89" s="393">
        <f t="shared" si="40"/>
        <v>2.9015809100648633E-3</v>
      </c>
      <c r="H89" s="393">
        <f t="shared" si="40"/>
        <v>7.9920291610734552E-4</v>
      </c>
      <c r="I89" s="393">
        <f t="shared" si="40"/>
        <v>-9.7775297667768572E-5</v>
      </c>
      <c r="J89" s="393">
        <f t="shared" si="40"/>
        <v>2.2304161159858414E-3</v>
      </c>
      <c r="K89" s="393">
        <f t="shared" si="40"/>
        <v>1.4750121322579825E-3</v>
      </c>
      <c r="L89" s="393">
        <f t="shared" si="40"/>
        <v>1.0333967020994081E-3</v>
      </c>
      <c r="M89" s="393">
        <f t="shared" si="40"/>
        <v>3.6315689510598896E-3</v>
      </c>
      <c r="N89" s="393">
        <f t="shared" si="40"/>
        <v>2.9646745544532841E-3</v>
      </c>
      <c r="O89" s="394">
        <f t="shared" si="40"/>
        <v>1.6348795474595012E-2</v>
      </c>
    </row>
    <row r="90" spans="2:16" ht="15.75">
      <c r="B90" s="376" t="s">
        <v>334</v>
      </c>
      <c r="C90" s="393">
        <f t="shared" si="40"/>
        <v>0</v>
      </c>
      <c r="D90" s="393">
        <f t="shared" si="40"/>
        <v>0</v>
      </c>
      <c r="E90" s="393">
        <f t="shared" si="40"/>
        <v>0</v>
      </c>
      <c r="F90" s="393">
        <f t="shared" si="40"/>
        <v>0</v>
      </c>
      <c r="G90" s="393">
        <f t="shared" si="40"/>
        <v>0</v>
      </c>
      <c r="H90" s="393">
        <f t="shared" si="40"/>
        <v>0</v>
      </c>
      <c r="I90" s="393">
        <f t="shared" si="40"/>
        <v>0</v>
      </c>
      <c r="J90" s="393">
        <f t="shared" si="40"/>
        <v>0</v>
      </c>
      <c r="K90" s="393">
        <f t="shared" si="40"/>
        <v>0</v>
      </c>
      <c r="L90" s="393">
        <f t="shared" si="40"/>
        <v>0</v>
      </c>
      <c r="M90" s="393">
        <f t="shared" si="40"/>
        <v>0</v>
      </c>
      <c r="N90" s="393">
        <f t="shared" si="40"/>
        <v>0</v>
      </c>
      <c r="O90" s="394">
        <f t="shared" si="40"/>
        <v>0</v>
      </c>
    </row>
    <row r="91" spans="2:16" ht="15.75">
      <c r="B91" s="376" t="s">
        <v>335</v>
      </c>
      <c r="C91" s="393">
        <f t="shared" si="40"/>
        <v>-1.5692807108011659E-3</v>
      </c>
      <c r="D91" s="393">
        <f t="shared" si="40"/>
        <v>-1.5517164212021668E-3</v>
      </c>
      <c r="E91" s="393">
        <f t="shared" si="40"/>
        <v>-1.5664510894476641E-3</v>
      </c>
      <c r="F91" s="393">
        <f t="shared" si="40"/>
        <v>-1.552541847195393E-3</v>
      </c>
      <c r="G91" s="393">
        <f t="shared" si="40"/>
        <v>-1.5602847456409363E-3</v>
      </c>
      <c r="H91" s="393">
        <f t="shared" si="40"/>
        <v>-1.5671454038386681E-3</v>
      </c>
      <c r="I91" s="393">
        <f t="shared" si="40"/>
        <v>-1.6143474391295334E-3</v>
      </c>
      <c r="J91" s="393">
        <f t="shared" si="40"/>
        <v>-1.6034188716636292E-3</v>
      </c>
      <c r="K91" s="393">
        <f t="shared" si="40"/>
        <v>-1.6114936414781348E-3</v>
      </c>
      <c r="L91" s="393">
        <f t="shared" si="40"/>
        <v>-1.6258774787458121E-3</v>
      </c>
      <c r="M91" s="393">
        <f t="shared" si="40"/>
        <v>-1.7210598400433633E-3</v>
      </c>
      <c r="N91" s="393">
        <f t="shared" si="40"/>
        <v>-2.5678391716414382E-3</v>
      </c>
      <c r="O91" s="394">
        <f t="shared" si="40"/>
        <v>-2.0111456660827903E-2</v>
      </c>
    </row>
    <row r="92" spans="2:16" ht="15.75">
      <c r="B92" s="400" t="s">
        <v>336</v>
      </c>
      <c r="C92" s="401">
        <f t="shared" si="40"/>
        <v>6.601072840385268E-4</v>
      </c>
      <c r="D92" s="401">
        <f t="shared" si="40"/>
        <v>9.7723888993477221E-4</v>
      </c>
      <c r="E92" s="401">
        <f t="shared" si="40"/>
        <v>-3.281157432326759E-4</v>
      </c>
      <c r="F92" s="401">
        <f t="shared" si="40"/>
        <v>5.0228016826004362E-4</v>
      </c>
      <c r="G92" s="401">
        <f t="shared" si="40"/>
        <v>3.445163041949968E-3</v>
      </c>
      <c r="H92" s="401">
        <f t="shared" si="40"/>
        <v>-2.3729954445372123E-3</v>
      </c>
      <c r="I92" s="401">
        <f t="shared" si="40"/>
        <v>-5.4853146020001329E-4</v>
      </c>
      <c r="J92" s="401">
        <f t="shared" si="40"/>
        <v>1.9117657414683153E-3</v>
      </c>
      <c r="K92" s="401">
        <f t="shared" si="40"/>
        <v>-2.0998641468130599E-3</v>
      </c>
      <c r="L92" s="401">
        <f t="shared" si="40"/>
        <v>7.6464632694525831E-4</v>
      </c>
      <c r="M92" s="401">
        <f t="shared" si="40"/>
        <v>-6.6849559641780193E-4</v>
      </c>
      <c r="N92" s="401">
        <f t="shared" si="40"/>
        <v>-1.3268241644748559E-3</v>
      </c>
      <c r="O92" s="402">
        <f t="shared" si="40"/>
        <v>9.1637489692126509E-4</v>
      </c>
    </row>
    <row r="93" spans="2:16" ht="24.95" customHeight="1" thickBot="1">
      <c r="B93" s="403" t="s">
        <v>359</v>
      </c>
      <c r="C93" s="404"/>
      <c r="D93" s="405"/>
      <c r="E93" s="405"/>
      <c r="F93" s="405"/>
      <c r="G93" s="405"/>
      <c r="H93" s="405"/>
      <c r="I93" s="405"/>
      <c r="J93" s="405"/>
      <c r="K93" s="405"/>
      <c r="L93" s="405"/>
      <c r="M93" s="405"/>
      <c r="N93" s="405"/>
      <c r="O93" s="406">
        <v>21990.959999999999</v>
      </c>
    </row>
    <row r="94" spans="2:16">
      <c r="B94" s="48" t="s">
        <v>338</v>
      </c>
    </row>
    <row r="95" spans="2:16">
      <c r="B95" s="48" t="s">
        <v>356</v>
      </c>
    </row>
    <row r="97" spans="2:15" ht="16.5" thickBot="1">
      <c r="B97" s="353" t="s">
        <v>340</v>
      </c>
      <c r="C97" s="2"/>
      <c r="D97" s="2"/>
      <c r="E97" s="2"/>
      <c r="F97" s="2"/>
      <c r="G97" s="2"/>
      <c r="H97" s="2"/>
      <c r="I97" s="2"/>
      <c r="J97" s="2"/>
      <c r="K97" s="2"/>
      <c r="L97" s="2"/>
      <c r="M97" s="2"/>
      <c r="N97" s="2"/>
      <c r="O97" s="2"/>
    </row>
    <row r="98" spans="2:15" ht="24.95" customHeight="1" thickBot="1">
      <c r="B98" s="407" t="s">
        <v>357</v>
      </c>
      <c r="C98" s="408">
        <f t="shared" ref="C98:O98" si="41">C49/$O$93</f>
        <v>1.5692807108011655E-3</v>
      </c>
      <c r="D98" s="409">
        <f t="shared" si="41"/>
        <v>1.5517164212021668E-3</v>
      </c>
      <c r="E98" s="409">
        <f t="shared" si="41"/>
        <v>1.5664510894476641E-3</v>
      </c>
      <c r="F98" s="409">
        <f t="shared" si="41"/>
        <v>1.552541847195393E-3</v>
      </c>
      <c r="G98" s="409">
        <f t="shared" si="41"/>
        <v>1.5602847456409363E-3</v>
      </c>
      <c r="H98" s="409">
        <f t="shared" si="41"/>
        <v>1.5671454038386685E-3</v>
      </c>
      <c r="I98" s="409">
        <f t="shared" si="41"/>
        <v>1.6143474391295334E-3</v>
      </c>
      <c r="J98" s="409">
        <f t="shared" si="41"/>
        <v>1.6034188716636292E-3</v>
      </c>
      <c r="K98" s="409">
        <f t="shared" si="41"/>
        <v>1.6114936414781348E-3</v>
      </c>
      <c r="L98" s="409">
        <f t="shared" si="41"/>
        <v>1.6258774787458121E-3</v>
      </c>
      <c r="M98" s="409">
        <f t="shared" si="41"/>
        <v>1.7210598400433633E-3</v>
      </c>
      <c r="N98" s="410">
        <f t="shared" si="41"/>
        <v>2.5678391716414382E-3</v>
      </c>
      <c r="O98" s="411">
        <f t="shared" si="41"/>
        <v>2.0111456660827903E-2</v>
      </c>
    </row>
  </sheetData>
  <printOptions horizontalCentered="1"/>
  <pageMargins left="0.7" right="0.7" top="0.75" bottom="0.75" header="0.3" footer="0.3"/>
  <pageSetup scale="2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8"/>
  <sheetViews>
    <sheetView workbookViewId="0">
      <selection activeCell="B17" sqref="B17"/>
    </sheetView>
  </sheetViews>
  <sheetFormatPr baseColWidth="10" defaultRowHeight="15"/>
  <cols>
    <col min="1" max="1" width="2.7109375" customWidth="1"/>
    <col min="2" max="2" width="52.42578125" customWidth="1"/>
    <col min="3" max="14" width="8.7109375" customWidth="1"/>
    <col min="15" max="15" width="10.5703125" customWidth="1"/>
  </cols>
  <sheetData>
    <row r="1" spans="1:16" ht="15.75">
      <c r="A1" s="2"/>
      <c r="B1" s="353" t="s">
        <v>18</v>
      </c>
      <c r="C1" s="2"/>
      <c r="D1" s="2"/>
      <c r="E1" s="2"/>
      <c r="F1" s="2"/>
      <c r="G1" s="2"/>
      <c r="H1" s="2"/>
      <c r="I1" s="2"/>
      <c r="J1" s="2"/>
      <c r="K1" s="2"/>
      <c r="L1" s="2"/>
      <c r="M1" s="2"/>
      <c r="N1" s="2"/>
      <c r="O1" s="2"/>
      <c r="P1" s="2"/>
    </row>
    <row r="2" spans="1:16" ht="15.75">
      <c r="A2" s="2"/>
      <c r="B2" s="353" t="s">
        <v>513</v>
      </c>
      <c r="C2" s="2"/>
      <c r="D2" s="2"/>
      <c r="E2" s="2"/>
      <c r="F2" s="2"/>
      <c r="G2" s="2"/>
      <c r="H2" s="2"/>
      <c r="I2" s="2"/>
      <c r="J2" s="2"/>
      <c r="K2" s="2"/>
      <c r="L2" s="2"/>
      <c r="M2" s="2"/>
      <c r="N2" s="2"/>
      <c r="O2" s="2"/>
      <c r="P2" s="2"/>
    </row>
    <row r="3" spans="1:16" ht="15.75">
      <c r="A3" s="2"/>
      <c r="B3" s="353" t="s">
        <v>19</v>
      </c>
      <c r="C3" s="2"/>
      <c r="D3" s="2"/>
      <c r="E3" s="2"/>
      <c r="F3" s="2"/>
      <c r="G3" s="2"/>
      <c r="H3" s="2"/>
      <c r="I3" s="2"/>
      <c r="J3" s="2"/>
      <c r="K3" s="2"/>
      <c r="L3" s="2"/>
      <c r="M3" s="2"/>
      <c r="N3" s="2"/>
      <c r="O3" s="2"/>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514</v>
      </c>
      <c r="P5" s="2"/>
    </row>
    <row r="6" spans="1:16" ht="15.75">
      <c r="A6" s="2"/>
      <c r="B6" s="358"/>
      <c r="C6" s="359"/>
      <c r="D6" s="359"/>
      <c r="E6" s="359"/>
      <c r="F6" s="359"/>
      <c r="G6" s="359"/>
      <c r="H6" s="359"/>
      <c r="I6" s="359"/>
      <c r="J6" s="359"/>
      <c r="K6" s="359"/>
      <c r="L6" s="359"/>
      <c r="M6" s="359"/>
      <c r="N6" s="359"/>
      <c r="O6" s="360"/>
      <c r="P6" s="2"/>
    </row>
    <row r="7" spans="1:16" ht="24.95" customHeight="1">
      <c r="A7" s="2"/>
      <c r="B7" s="390" t="s">
        <v>239</v>
      </c>
      <c r="C7" s="494">
        <f t="shared" ref="C7:N7" si="0">+C8+C12+C13</f>
        <v>434.17644454999999</v>
      </c>
      <c r="D7" s="494">
        <f t="shared" si="0"/>
        <v>349.96772925999994</v>
      </c>
      <c r="E7" s="494">
        <f t="shared" si="0"/>
        <v>432.84047894000008</v>
      </c>
      <c r="F7" s="494">
        <f t="shared" si="0"/>
        <v>706.65084874000001</v>
      </c>
      <c r="G7" s="494">
        <f t="shared" si="0"/>
        <v>366.00694611</v>
      </c>
      <c r="H7" s="494">
        <f t="shared" si="0"/>
        <v>358.74087547000005</v>
      </c>
      <c r="I7" s="494">
        <f t="shared" si="0"/>
        <v>385.79475464299992</v>
      </c>
      <c r="J7" s="494">
        <f t="shared" si="0"/>
        <v>342.04472441299998</v>
      </c>
      <c r="K7" s="494">
        <f t="shared" si="0"/>
        <v>343.34842324000005</v>
      </c>
      <c r="L7" s="494">
        <f t="shared" si="0"/>
        <v>382.75698738</v>
      </c>
      <c r="M7" s="494">
        <f t="shared" si="0"/>
        <v>384.73918277000007</v>
      </c>
      <c r="N7" s="494">
        <f t="shared" si="0"/>
        <v>469.17748861899821</v>
      </c>
      <c r="O7" s="495">
        <f>SUM(C7:N7)</f>
        <v>4956.2448841349988</v>
      </c>
      <c r="P7" s="2"/>
    </row>
    <row r="8" spans="1:16" ht="21" customHeight="1">
      <c r="A8" s="2"/>
      <c r="B8" s="376" t="s">
        <v>240</v>
      </c>
      <c r="C8" s="366">
        <f>+C9+C10+C11</f>
        <v>432.25202954999997</v>
      </c>
      <c r="D8" s="366">
        <f t="shared" ref="D8:N8" si="1">+D9+D10+D11</f>
        <v>347.60453588999997</v>
      </c>
      <c r="E8" s="366">
        <f t="shared" si="1"/>
        <v>429.75981338000008</v>
      </c>
      <c r="F8" s="366">
        <f t="shared" si="1"/>
        <v>703.39338194000004</v>
      </c>
      <c r="G8" s="366">
        <f t="shared" si="1"/>
        <v>363.48799647999999</v>
      </c>
      <c r="H8" s="366">
        <f t="shared" si="1"/>
        <v>355.32318633000006</v>
      </c>
      <c r="I8" s="366">
        <f t="shared" si="1"/>
        <v>375.41169379299993</v>
      </c>
      <c r="J8" s="366">
        <f t="shared" si="1"/>
        <v>339.151444653</v>
      </c>
      <c r="K8" s="366">
        <f t="shared" si="1"/>
        <v>341.15311024000005</v>
      </c>
      <c r="L8" s="366">
        <f t="shared" si="1"/>
        <v>378.91799337999998</v>
      </c>
      <c r="M8" s="366">
        <f t="shared" si="1"/>
        <v>378.29982940000008</v>
      </c>
      <c r="N8" s="366">
        <f t="shared" si="1"/>
        <v>465.1302509489982</v>
      </c>
      <c r="O8" s="367">
        <f t="shared" ref="O8:O13" si="2">SUM(C8:N8)</f>
        <v>4909.8852659849981</v>
      </c>
      <c r="P8" s="2"/>
    </row>
    <row r="9" spans="1:16" ht="18.75">
      <c r="A9" s="2"/>
      <c r="B9" s="371" t="s">
        <v>351</v>
      </c>
      <c r="C9" s="366">
        <v>363.11323425</v>
      </c>
      <c r="D9" s="366">
        <v>284.12125528999997</v>
      </c>
      <c r="E9" s="366">
        <v>301.40839474000006</v>
      </c>
      <c r="F9" s="366">
        <v>646.72542178000003</v>
      </c>
      <c r="G9" s="366">
        <v>301.12249155000001</v>
      </c>
      <c r="H9" s="366">
        <v>298.23669981000006</v>
      </c>
      <c r="I9" s="366">
        <v>306.73803385999992</v>
      </c>
      <c r="J9" s="366">
        <v>282.97127624000001</v>
      </c>
      <c r="K9" s="366">
        <v>283.16589436000004</v>
      </c>
      <c r="L9" s="366">
        <v>308.68872085000004</v>
      </c>
      <c r="M9" s="366">
        <v>303.89821060000008</v>
      </c>
      <c r="N9" s="366">
        <v>308.82659944</v>
      </c>
      <c r="O9" s="367">
        <f t="shared" si="2"/>
        <v>3989.01623277</v>
      </c>
      <c r="P9" s="2"/>
    </row>
    <row r="10" spans="1:16" ht="15.75">
      <c r="A10" s="2"/>
      <c r="B10" s="371" t="s">
        <v>317</v>
      </c>
      <c r="C10" s="366">
        <v>50.073166979999996</v>
      </c>
      <c r="D10" s="366">
        <v>57.670655889999999</v>
      </c>
      <c r="E10" s="366">
        <v>121.84445713</v>
      </c>
      <c r="F10" s="366">
        <v>51.667013059999995</v>
      </c>
      <c r="G10" s="366">
        <v>52.677457780000005</v>
      </c>
      <c r="H10" s="366">
        <v>50.851024120000005</v>
      </c>
      <c r="I10" s="366">
        <v>55.015795013000009</v>
      </c>
      <c r="J10" s="366">
        <v>53.854480893000002</v>
      </c>
      <c r="K10" s="366">
        <v>52.126194140000003</v>
      </c>
      <c r="L10" s="366">
        <v>51.757026340000003</v>
      </c>
      <c r="M10" s="366">
        <v>52.455178689999997</v>
      </c>
      <c r="N10" s="366">
        <v>147.07399610599822</v>
      </c>
      <c r="O10" s="367">
        <f t="shared" si="2"/>
        <v>797.06644614199831</v>
      </c>
      <c r="P10" s="2"/>
    </row>
    <row r="11" spans="1:16" ht="15.75">
      <c r="A11" s="2"/>
      <c r="B11" s="371" t="s">
        <v>318</v>
      </c>
      <c r="C11" s="366">
        <v>19.065628320000002</v>
      </c>
      <c r="D11" s="366">
        <v>5.8126247100000086</v>
      </c>
      <c r="E11" s="366">
        <v>6.5069615100000036</v>
      </c>
      <c r="F11" s="366">
        <v>5.0009471000000048</v>
      </c>
      <c r="G11" s="366">
        <v>9.6880471499999921</v>
      </c>
      <c r="H11" s="366">
        <v>6.235462400000003</v>
      </c>
      <c r="I11" s="366">
        <v>13.657864920000005</v>
      </c>
      <c r="J11" s="366">
        <v>2.3256875199999953</v>
      </c>
      <c r="K11" s="366">
        <v>5.8610217399999982</v>
      </c>
      <c r="L11" s="366">
        <v>18.472246189999993</v>
      </c>
      <c r="M11" s="366">
        <v>21.94644010999999</v>
      </c>
      <c r="N11" s="366">
        <v>9.2296554029999953</v>
      </c>
      <c r="O11" s="367">
        <f t="shared" si="2"/>
        <v>123.802587073</v>
      </c>
      <c r="P11" s="2"/>
    </row>
    <row r="12" spans="1:16" ht="21" customHeight="1">
      <c r="A12" s="2"/>
      <c r="B12" s="376" t="s">
        <v>244</v>
      </c>
      <c r="C12" s="366">
        <v>0</v>
      </c>
      <c r="D12" s="366">
        <v>2.1772499999999999E-3</v>
      </c>
      <c r="E12" s="366">
        <v>0</v>
      </c>
      <c r="F12" s="366">
        <v>0</v>
      </c>
      <c r="G12" s="366">
        <v>1.253056E-2</v>
      </c>
      <c r="H12" s="366">
        <v>0</v>
      </c>
      <c r="I12" s="366">
        <v>0</v>
      </c>
      <c r="J12" s="366">
        <v>0</v>
      </c>
      <c r="K12" s="366">
        <v>1.24E-2</v>
      </c>
      <c r="L12" s="366">
        <v>9.5508799999999994E-3</v>
      </c>
      <c r="M12" s="366">
        <v>0</v>
      </c>
      <c r="N12" s="366">
        <v>1.6991E-4</v>
      </c>
      <c r="O12" s="367">
        <f t="shared" si="2"/>
        <v>3.6828600000000003E-2</v>
      </c>
      <c r="P12" s="2"/>
    </row>
    <row r="13" spans="1:16" ht="21" customHeight="1">
      <c r="A13" s="2"/>
      <c r="B13" s="376" t="s">
        <v>245</v>
      </c>
      <c r="C13" s="366">
        <v>1.9244150000000002</v>
      </c>
      <c r="D13" s="366">
        <v>2.3610161200000004</v>
      </c>
      <c r="E13" s="366">
        <v>3.0806655599999999</v>
      </c>
      <c r="F13" s="366">
        <v>3.2574668</v>
      </c>
      <c r="G13" s="366">
        <v>2.5064190700000002</v>
      </c>
      <c r="H13" s="366">
        <v>3.4176891400000002</v>
      </c>
      <c r="I13" s="366">
        <v>10.383060850000001</v>
      </c>
      <c r="J13" s="366">
        <v>2.89327976</v>
      </c>
      <c r="K13" s="366">
        <v>2.1829129999999997</v>
      </c>
      <c r="L13" s="366">
        <v>3.8294431199999996</v>
      </c>
      <c r="M13" s="366">
        <v>6.439353370000001</v>
      </c>
      <c r="N13" s="366">
        <v>4.04706776</v>
      </c>
      <c r="O13" s="367">
        <f t="shared" si="2"/>
        <v>46.322789549999996</v>
      </c>
      <c r="P13" s="2"/>
    </row>
    <row r="14" spans="1:16" ht="24.95" customHeight="1">
      <c r="A14" s="2"/>
      <c r="B14" s="390" t="s">
        <v>246</v>
      </c>
      <c r="C14" s="363">
        <f>+C15+C21+C24</f>
        <v>436.02213490999998</v>
      </c>
      <c r="D14" s="363">
        <f t="shared" ref="D14:N14" si="3">+D15+D21+D24</f>
        <v>399.47192532999998</v>
      </c>
      <c r="E14" s="363">
        <f t="shared" si="3"/>
        <v>396.35939978999994</v>
      </c>
      <c r="F14" s="363">
        <f t="shared" si="3"/>
        <v>427.11584725</v>
      </c>
      <c r="G14" s="363">
        <f t="shared" si="3"/>
        <v>469.09950761000005</v>
      </c>
      <c r="H14" s="363">
        <f t="shared" si="3"/>
        <v>470.09105320000003</v>
      </c>
      <c r="I14" s="363">
        <f t="shared" si="3"/>
        <v>503.72706226000003</v>
      </c>
      <c r="J14" s="363">
        <f t="shared" si="3"/>
        <v>393.48432573999997</v>
      </c>
      <c r="K14" s="363">
        <f t="shared" si="3"/>
        <v>479.58596199999999</v>
      </c>
      <c r="L14" s="363">
        <f t="shared" si="3"/>
        <v>414.80728964999997</v>
      </c>
      <c r="M14" s="363">
        <f t="shared" si="3"/>
        <v>407.07028499999996</v>
      </c>
      <c r="N14" s="363">
        <f t="shared" si="3"/>
        <v>599.39644886999997</v>
      </c>
      <c r="O14" s="364">
        <f>SUM(C14:N14)</f>
        <v>5396.2312416099994</v>
      </c>
      <c r="P14" s="2"/>
    </row>
    <row r="15" spans="1:16" ht="21" customHeight="1">
      <c r="A15" s="2"/>
      <c r="B15" s="376" t="s">
        <v>247</v>
      </c>
      <c r="C15" s="366">
        <f>+C16+C19+C20</f>
        <v>396.69403156749996</v>
      </c>
      <c r="D15" s="366">
        <f t="shared" ref="D15:N15" si="4">+D16+D19+D20</f>
        <v>344.2785369325</v>
      </c>
      <c r="E15" s="366">
        <f t="shared" si="4"/>
        <v>340.14645963249995</v>
      </c>
      <c r="F15" s="366">
        <f t="shared" si="4"/>
        <v>376.68731923249999</v>
      </c>
      <c r="G15" s="366">
        <f t="shared" si="4"/>
        <v>400.89720987250007</v>
      </c>
      <c r="H15" s="366">
        <f t="shared" si="4"/>
        <v>418.89203668250002</v>
      </c>
      <c r="I15" s="366">
        <f t="shared" si="4"/>
        <v>425.59291078249998</v>
      </c>
      <c r="J15" s="366">
        <f t="shared" si="4"/>
        <v>338.85210551249997</v>
      </c>
      <c r="K15" s="366">
        <f t="shared" si="4"/>
        <v>412.72406847249999</v>
      </c>
      <c r="L15" s="366">
        <f t="shared" si="4"/>
        <v>358.58095289249997</v>
      </c>
      <c r="M15" s="366">
        <f t="shared" si="4"/>
        <v>356.25638167249997</v>
      </c>
      <c r="N15" s="366">
        <f t="shared" si="4"/>
        <v>537.95604497499994</v>
      </c>
      <c r="O15" s="367">
        <f t="shared" ref="O15:O24" si="5">SUM(C15:N15)</f>
        <v>4707.5580582274997</v>
      </c>
      <c r="P15" s="2"/>
    </row>
    <row r="16" spans="1:16" ht="15.75">
      <c r="A16" s="2"/>
      <c r="B16" s="371" t="s">
        <v>321</v>
      </c>
      <c r="C16" s="366">
        <f>+C17+C18</f>
        <v>240.99799711750001</v>
      </c>
      <c r="D16" s="366">
        <f t="shared" ref="D16:N16" si="6">+D17+D18</f>
        <v>252.9988886825</v>
      </c>
      <c r="E16" s="366">
        <f t="shared" si="6"/>
        <v>251.89138617249998</v>
      </c>
      <c r="F16" s="366">
        <f t="shared" si="6"/>
        <v>262.22550315249998</v>
      </c>
      <c r="G16" s="366">
        <f t="shared" si="6"/>
        <v>291.86369632250006</v>
      </c>
      <c r="H16" s="366">
        <f t="shared" si="6"/>
        <v>279.64754266249997</v>
      </c>
      <c r="I16" s="366">
        <f t="shared" si="6"/>
        <v>252.45806509250002</v>
      </c>
      <c r="J16" s="366">
        <f t="shared" si="6"/>
        <v>243.40389887250001</v>
      </c>
      <c r="K16" s="366">
        <f t="shared" si="6"/>
        <v>289.92056056249999</v>
      </c>
      <c r="L16" s="366">
        <f t="shared" si="6"/>
        <v>252.32245038249999</v>
      </c>
      <c r="M16" s="366">
        <f t="shared" si="6"/>
        <v>257.69230710249997</v>
      </c>
      <c r="N16" s="366">
        <f t="shared" si="6"/>
        <v>415.765528695</v>
      </c>
      <c r="O16" s="367">
        <f t="shared" si="5"/>
        <v>3291.1878248174994</v>
      </c>
      <c r="P16" s="2"/>
    </row>
    <row r="17" spans="1:18" ht="15.75">
      <c r="A17" s="2"/>
      <c r="B17" s="395" t="s">
        <v>322</v>
      </c>
      <c r="C17" s="366">
        <v>168.99348025025</v>
      </c>
      <c r="D17" s="366">
        <v>173.10290104775001</v>
      </c>
      <c r="E17" s="366">
        <v>171.62267157374998</v>
      </c>
      <c r="F17" s="366">
        <v>186.90104425875001</v>
      </c>
      <c r="G17" s="366">
        <v>178.90202149975002</v>
      </c>
      <c r="H17" s="366">
        <v>187.09283558674997</v>
      </c>
      <c r="I17" s="366">
        <v>173.10246919975</v>
      </c>
      <c r="J17" s="366">
        <v>169.67980816475</v>
      </c>
      <c r="K17" s="366">
        <v>185.44393138775001</v>
      </c>
      <c r="L17" s="366">
        <v>167.74237306374999</v>
      </c>
      <c r="M17" s="366">
        <v>170.43183529875</v>
      </c>
      <c r="N17" s="366">
        <v>298.80756927150003</v>
      </c>
      <c r="O17" s="367">
        <f t="shared" si="5"/>
        <v>2231.8229406032501</v>
      </c>
      <c r="P17" s="2"/>
    </row>
    <row r="18" spans="1:18" ht="15.75">
      <c r="A18" s="2"/>
      <c r="B18" s="395" t="s">
        <v>323</v>
      </c>
      <c r="C18" s="366">
        <v>72.00451686724999</v>
      </c>
      <c r="D18" s="366">
        <v>79.895987634749986</v>
      </c>
      <c r="E18" s="366">
        <v>80.268714598749995</v>
      </c>
      <c r="F18" s="366">
        <v>75.324458893749991</v>
      </c>
      <c r="G18" s="366">
        <v>112.96167482275003</v>
      </c>
      <c r="H18" s="366">
        <v>92.554707075749988</v>
      </c>
      <c r="I18" s="366">
        <v>79.355595892750003</v>
      </c>
      <c r="J18" s="366">
        <v>73.724090707749994</v>
      </c>
      <c r="K18" s="366">
        <v>104.47662917474999</v>
      </c>
      <c r="L18" s="366">
        <v>84.580077318749986</v>
      </c>
      <c r="M18" s="366">
        <v>87.260471803749994</v>
      </c>
      <c r="N18" s="366">
        <v>116.95795942349999</v>
      </c>
      <c r="O18" s="367">
        <f t="shared" si="5"/>
        <v>1059.3648842142497</v>
      </c>
      <c r="P18" s="2"/>
    </row>
    <row r="19" spans="1:18" ht="15.75">
      <c r="A19" s="2"/>
      <c r="B19" s="371" t="s">
        <v>352</v>
      </c>
      <c r="C19" s="366">
        <v>95.94931781999999</v>
      </c>
      <c r="D19" s="366">
        <v>32.571615460000004</v>
      </c>
      <c r="E19" s="366">
        <v>27.031556930000001</v>
      </c>
      <c r="F19" s="366">
        <v>44.794179369999995</v>
      </c>
      <c r="G19" s="366">
        <v>38.340381120000004</v>
      </c>
      <c r="H19" s="366">
        <v>65.412836929999997</v>
      </c>
      <c r="I19" s="366">
        <v>98.017686819999994</v>
      </c>
      <c r="J19" s="366">
        <v>30.52162989</v>
      </c>
      <c r="K19" s="366">
        <v>40.701208219999998</v>
      </c>
      <c r="L19" s="366">
        <v>44.54669083000001</v>
      </c>
      <c r="M19" s="366">
        <v>38.208739329999993</v>
      </c>
      <c r="N19" s="366">
        <v>54.279855780000005</v>
      </c>
      <c r="O19" s="367">
        <f t="shared" si="5"/>
        <v>610.3756985</v>
      </c>
      <c r="P19" s="2"/>
    </row>
    <row r="20" spans="1:18" ht="15.75">
      <c r="A20" s="2"/>
      <c r="B20" s="371" t="s">
        <v>325</v>
      </c>
      <c r="C20" s="366">
        <v>59.746716629999987</v>
      </c>
      <c r="D20" s="366">
        <v>58.708032789999997</v>
      </c>
      <c r="E20" s="366">
        <v>61.223516530000005</v>
      </c>
      <c r="F20" s="366">
        <v>69.667636709999996</v>
      </c>
      <c r="G20" s="366">
        <v>70.693132430000006</v>
      </c>
      <c r="H20" s="366">
        <v>73.831657089999993</v>
      </c>
      <c r="I20" s="366">
        <v>75.117158869999997</v>
      </c>
      <c r="J20" s="366">
        <v>64.926576749999995</v>
      </c>
      <c r="K20" s="366">
        <v>82.102299689999995</v>
      </c>
      <c r="L20" s="366">
        <v>61.711811679999997</v>
      </c>
      <c r="M20" s="366">
        <v>60.355335240000002</v>
      </c>
      <c r="N20" s="366">
        <v>67.910660500000006</v>
      </c>
      <c r="O20" s="367">
        <f t="shared" si="5"/>
        <v>805.99453491000008</v>
      </c>
      <c r="P20" s="2"/>
    </row>
    <row r="21" spans="1:18" ht="21" customHeight="1">
      <c r="A21" s="2"/>
      <c r="B21" s="376" t="s">
        <v>259</v>
      </c>
      <c r="C21" s="366">
        <f>+C22+C23</f>
        <v>39.328103342499993</v>
      </c>
      <c r="D21" s="366">
        <f t="shared" ref="D21:N21" si="7">+D22+D23</f>
        <v>55.193388397499994</v>
      </c>
      <c r="E21" s="366">
        <f t="shared" si="7"/>
        <v>56.2129401575</v>
      </c>
      <c r="F21" s="366">
        <f t="shared" si="7"/>
        <v>50.440173157500006</v>
      </c>
      <c r="G21" s="366">
        <f t="shared" si="7"/>
        <v>68.20229773749999</v>
      </c>
      <c r="H21" s="366">
        <f t="shared" si="7"/>
        <v>51.431866317499995</v>
      </c>
      <c r="I21" s="366">
        <f t="shared" si="7"/>
        <v>78.134151477500012</v>
      </c>
      <c r="J21" s="366">
        <f t="shared" si="7"/>
        <v>54.632220227500007</v>
      </c>
      <c r="K21" s="366">
        <f t="shared" si="7"/>
        <v>66.861893527500001</v>
      </c>
      <c r="L21" s="366">
        <f t="shared" si="7"/>
        <v>56.226336757499993</v>
      </c>
      <c r="M21" s="366">
        <f t="shared" si="7"/>
        <v>50.8139033275</v>
      </c>
      <c r="N21" s="366">
        <f t="shared" si="7"/>
        <v>61.669050845000001</v>
      </c>
      <c r="O21" s="367">
        <f t="shared" si="5"/>
        <v>689.14632527250012</v>
      </c>
      <c r="P21" s="2"/>
    </row>
    <row r="22" spans="1:18" ht="15.75">
      <c r="A22" s="2"/>
      <c r="B22" s="371" t="s">
        <v>260</v>
      </c>
      <c r="C22" s="366">
        <v>35.844097452499994</v>
      </c>
      <c r="D22" s="366">
        <v>50.895940177499995</v>
      </c>
      <c r="E22" s="366">
        <v>52.403912837500002</v>
      </c>
      <c r="F22" s="366">
        <v>46.127907647500002</v>
      </c>
      <c r="G22" s="366">
        <v>63.777859147499996</v>
      </c>
      <c r="H22" s="366">
        <v>47.982129617499993</v>
      </c>
      <c r="I22" s="366">
        <v>67.429574257500008</v>
      </c>
      <c r="J22" s="366">
        <v>44.201594557500002</v>
      </c>
      <c r="K22" s="366">
        <v>52.550856057500006</v>
      </c>
      <c r="L22" s="366">
        <v>55.359633267499994</v>
      </c>
      <c r="M22" s="366">
        <v>48.338712897500002</v>
      </c>
      <c r="N22" s="366">
        <v>59.683902504999999</v>
      </c>
      <c r="O22" s="367">
        <f t="shared" si="5"/>
        <v>624.59612042250012</v>
      </c>
      <c r="P22" s="2"/>
    </row>
    <row r="23" spans="1:18" ht="15.75">
      <c r="A23" s="2"/>
      <c r="B23" s="371" t="s">
        <v>326</v>
      </c>
      <c r="C23" s="366">
        <v>3.4840058899999997</v>
      </c>
      <c r="D23" s="366">
        <v>4.2974482200000006</v>
      </c>
      <c r="E23" s="366">
        <v>3.8090273200000002</v>
      </c>
      <c r="F23" s="366">
        <v>4.3122655100000005</v>
      </c>
      <c r="G23" s="366">
        <v>4.4244385900000003</v>
      </c>
      <c r="H23" s="366">
        <v>3.4497366999999999</v>
      </c>
      <c r="I23" s="366">
        <v>10.704577220000001</v>
      </c>
      <c r="J23" s="366">
        <v>10.430625670000005</v>
      </c>
      <c r="K23" s="366">
        <v>14.31103747</v>
      </c>
      <c r="L23" s="366">
        <v>0.86670349000000002</v>
      </c>
      <c r="M23" s="366">
        <v>2.4751904300000001</v>
      </c>
      <c r="N23" s="366">
        <v>1.9851483400000001</v>
      </c>
      <c r="O23" s="367">
        <f t="shared" si="5"/>
        <v>64.55020485</v>
      </c>
      <c r="P23" s="2"/>
    </row>
    <row r="24" spans="1:18" ht="21" customHeight="1">
      <c r="A24" s="2"/>
      <c r="B24" s="376" t="s">
        <v>327</v>
      </c>
      <c r="C24" s="366">
        <v>0</v>
      </c>
      <c r="D24" s="366">
        <v>0</v>
      </c>
      <c r="E24" s="366">
        <v>0</v>
      </c>
      <c r="F24" s="366">
        <v>-1.164514E-2</v>
      </c>
      <c r="G24" s="366">
        <v>0</v>
      </c>
      <c r="H24" s="366">
        <v>-0.2328498</v>
      </c>
      <c r="I24" s="366">
        <v>0</v>
      </c>
      <c r="J24" s="366">
        <v>0</v>
      </c>
      <c r="K24" s="366">
        <v>0</v>
      </c>
      <c r="L24" s="366">
        <v>0</v>
      </c>
      <c r="M24" s="366">
        <v>0</v>
      </c>
      <c r="N24" s="366">
        <v>-0.22864694999999999</v>
      </c>
      <c r="O24" s="367">
        <f t="shared" si="5"/>
        <v>-0.47314188999999995</v>
      </c>
      <c r="P24" s="2"/>
    </row>
    <row r="25" spans="1:18" ht="24.95" customHeight="1">
      <c r="A25" s="2"/>
      <c r="B25" s="390" t="s">
        <v>269</v>
      </c>
      <c r="C25" s="363">
        <f t="shared" ref="C25:N25" si="8">C8-C15</f>
        <v>35.557997982500012</v>
      </c>
      <c r="D25" s="363">
        <f t="shared" si="8"/>
        <v>3.3259989574999622</v>
      </c>
      <c r="E25" s="363">
        <f t="shared" si="8"/>
        <v>89.613353747500128</v>
      </c>
      <c r="F25" s="363">
        <f t="shared" si="8"/>
        <v>326.70606270750005</v>
      </c>
      <c r="G25" s="363">
        <f t="shared" si="8"/>
        <v>-37.409213392500078</v>
      </c>
      <c r="H25" s="363">
        <f t="shared" si="8"/>
        <v>-63.568850352499965</v>
      </c>
      <c r="I25" s="363">
        <f t="shared" si="8"/>
        <v>-50.181216989500058</v>
      </c>
      <c r="J25" s="363">
        <f t="shared" si="8"/>
        <v>0.29933914050002386</v>
      </c>
      <c r="K25" s="363">
        <f t="shared" si="8"/>
        <v>-71.570958232499947</v>
      </c>
      <c r="L25" s="363">
        <f t="shared" si="8"/>
        <v>20.337040487500019</v>
      </c>
      <c r="M25" s="363">
        <f t="shared" si="8"/>
        <v>22.043447727500109</v>
      </c>
      <c r="N25" s="363">
        <f t="shared" si="8"/>
        <v>-72.825794026001745</v>
      </c>
      <c r="O25" s="364">
        <f>SUM(C25:N25)</f>
        <v>202.32720775749851</v>
      </c>
      <c r="P25" s="2"/>
    </row>
    <row r="26" spans="1:18" ht="24.95" customHeight="1">
      <c r="A26" s="2"/>
      <c r="B26" s="396" t="s">
        <v>735</v>
      </c>
      <c r="C26" s="363"/>
      <c r="D26" s="363"/>
      <c r="E26" s="363"/>
      <c r="F26" s="363"/>
      <c r="G26" s="363"/>
      <c r="H26" s="363"/>
      <c r="I26" s="363"/>
      <c r="J26" s="363"/>
      <c r="K26" s="363"/>
      <c r="L26" s="363"/>
      <c r="M26" s="363"/>
      <c r="N26" s="363"/>
      <c r="O26" s="364"/>
      <c r="P26" s="2"/>
    </row>
    <row r="27" spans="1:18" ht="21" customHeight="1">
      <c r="A27" s="2"/>
      <c r="B27" s="399" t="s">
        <v>737</v>
      </c>
      <c r="C27" s="363">
        <f>C30+C19</f>
        <v>94.103627459999998</v>
      </c>
      <c r="D27" s="363">
        <f>D30+D19</f>
        <v>-16.932580610000031</v>
      </c>
      <c r="E27" s="363">
        <f t="shared" ref="E27:M27" si="9">E30+E19</f>
        <v>63.512636080000142</v>
      </c>
      <c r="F27" s="363">
        <f t="shared" si="9"/>
        <v>324.32918086000001</v>
      </c>
      <c r="G27" s="363">
        <f t="shared" si="9"/>
        <v>-64.752180380000041</v>
      </c>
      <c r="H27" s="363">
        <f t="shared" si="9"/>
        <v>-45.937340799999987</v>
      </c>
      <c r="I27" s="363">
        <f t="shared" si="9"/>
        <v>-19.914620797000111</v>
      </c>
      <c r="J27" s="363">
        <f t="shared" si="9"/>
        <v>-20.917971436999991</v>
      </c>
      <c r="K27" s="363">
        <f t="shared" si="9"/>
        <v>-95.536330539999952</v>
      </c>
      <c r="L27" s="363">
        <f t="shared" si="9"/>
        <v>12.496388560000035</v>
      </c>
      <c r="M27" s="363">
        <f t="shared" si="9"/>
        <v>15.877637100000108</v>
      </c>
      <c r="N27" s="363">
        <f>N30+N19</f>
        <v>-75.939104471001755</v>
      </c>
      <c r="O27" s="364">
        <f t="shared" ref="O27:O28" si="10">SUM(C27:N27)</f>
        <v>170.38934102499837</v>
      </c>
      <c r="P27" s="2"/>
    </row>
    <row r="28" spans="1:18" ht="21" customHeight="1">
      <c r="A28" s="2"/>
      <c r="B28" s="399" t="s">
        <v>736</v>
      </c>
      <c r="C28" s="363">
        <f>C27-C49</f>
        <v>57.893769640000002</v>
      </c>
      <c r="D28" s="363">
        <f>D27-D49</f>
        <v>-53.807208430000031</v>
      </c>
      <c r="E28" s="363">
        <f t="shared" ref="E28:M28" si="11">E27-E49</f>
        <v>27.319079780000145</v>
      </c>
      <c r="F28" s="363">
        <f t="shared" si="11"/>
        <v>287.61742101800002</v>
      </c>
      <c r="G28" s="363">
        <f t="shared" si="11"/>
        <v>-101.47919371000005</v>
      </c>
      <c r="H28" s="363">
        <f t="shared" si="11"/>
        <v>-82.982528599999995</v>
      </c>
      <c r="I28" s="363">
        <f t="shared" si="11"/>
        <v>-57.397125447000107</v>
      </c>
      <c r="J28" s="363">
        <f t="shared" si="11"/>
        <v>-57.950355716999994</v>
      </c>
      <c r="K28" s="363">
        <f t="shared" si="11"/>
        <v>-132.34825451999995</v>
      </c>
      <c r="L28" s="363">
        <f t="shared" si="11"/>
        <v>-25.717489989999969</v>
      </c>
      <c r="M28" s="363">
        <f t="shared" si="11"/>
        <v>-24.851083969999891</v>
      </c>
      <c r="N28" s="363">
        <f>N27-N49</f>
        <v>-132.89366594100176</v>
      </c>
      <c r="O28" s="364">
        <f t="shared" si="10"/>
        <v>-296.59663588700158</v>
      </c>
      <c r="P28" s="2"/>
    </row>
    <row r="29" spans="1:18" ht="24.95" customHeight="1">
      <c r="A29" s="2"/>
      <c r="B29" s="397" t="s">
        <v>328</v>
      </c>
      <c r="C29" s="366"/>
      <c r="D29" s="366"/>
      <c r="E29" s="366"/>
      <c r="F29" s="366"/>
      <c r="G29" s="366"/>
      <c r="H29" s="366"/>
      <c r="I29" s="366"/>
      <c r="J29" s="366"/>
      <c r="K29" s="366"/>
      <c r="L29" s="366"/>
      <c r="M29" s="366"/>
      <c r="N29" s="366"/>
      <c r="O29" s="364"/>
      <c r="P29" s="2"/>
    </row>
    <row r="30" spans="1:18" ht="21" customHeight="1">
      <c r="A30" s="2"/>
      <c r="B30" s="399" t="s">
        <v>329</v>
      </c>
      <c r="C30" s="363">
        <f t="shared" ref="C30:N30" si="12">C7-C14</f>
        <v>-1.8456903599999919</v>
      </c>
      <c r="D30" s="363">
        <f t="shared" si="12"/>
        <v>-49.504196070000035</v>
      </c>
      <c r="E30" s="363">
        <f t="shared" si="12"/>
        <v>36.481079150000141</v>
      </c>
      <c r="F30" s="363">
        <f t="shared" si="12"/>
        <v>279.53500149000001</v>
      </c>
      <c r="G30" s="363">
        <f t="shared" si="12"/>
        <v>-103.09256150000004</v>
      </c>
      <c r="H30" s="363">
        <f t="shared" si="12"/>
        <v>-111.35017772999998</v>
      </c>
      <c r="I30" s="363">
        <f t="shared" si="12"/>
        <v>-117.93230761700011</v>
      </c>
      <c r="J30" s="363">
        <f t="shared" si="12"/>
        <v>-51.439601326999991</v>
      </c>
      <c r="K30" s="363">
        <f t="shared" si="12"/>
        <v>-136.23753875999995</v>
      </c>
      <c r="L30" s="363">
        <f t="shared" si="12"/>
        <v>-32.050302269999975</v>
      </c>
      <c r="M30" s="363">
        <f t="shared" si="12"/>
        <v>-22.331102229999885</v>
      </c>
      <c r="N30" s="363">
        <f t="shared" si="12"/>
        <v>-130.21896025100176</v>
      </c>
      <c r="O30" s="364">
        <f t="shared" ref="O30:O44" si="13">SUM(C30:N30)</f>
        <v>-439.98635747500157</v>
      </c>
      <c r="P30" s="2"/>
    </row>
    <row r="31" spans="1:18" ht="21" customHeight="1">
      <c r="A31" s="2"/>
      <c r="B31" s="399" t="s">
        <v>330</v>
      </c>
      <c r="C31" s="363">
        <f t="shared" ref="C31:N31" si="14">C30-C13</f>
        <v>-3.7701053599999921</v>
      </c>
      <c r="D31" s="363">
        <f t="shared" si="14"/>
        <v>-51.865212190000037</v>
      </c>
      <c r="E31" s="363">
        <f t="shared" si="14"/>
        <v>33.400413590000142</v>
      </c>
      <c r="F31" s="363">
        <f t="shared" si="14"/>
        <v>276.27753469000004</v>
      </c>
      <c r="G31" s="363">
        <f t="shared" si="14"/>
        <v>-105.59898057000005</v>
      </c>
      <c r="H31" s="363">
        <f t="shared" si="14"/>
        <v>-114.76786686999998</v>
      </c>
      <c r="I31" s="363">
        <f t="shared" si="14"/>
        <v>-128.3153684670001</v>
      </c>
      <c r="J31" s="363">
        <f t="shared" si="14"/>
        <v>-54.33288108699999</v>
      </c>
      <c r="K31" s="363">
        <f t="shared" si="14"/>
        <v>-138.42045175999996</v>
      </c>
      <c r="L31" s="363">
        <f t="shared" si="14"/>
        <v>-35.879745389999975</v>
      </c>
      <c r="M31" s="363">
        <f t="shared" si="14"/>
        <v>-28.770455599999885</v>
      </c>
      <c r="N31" s="363">
        <f t="shared" si="14"/>
        <v>-134.26602801100177</v>
      </c>
      <c r="O31" s="364">
        <f t="shared" si="13"/>
        <v>-486.30914702500149</v>
      </c>
      <c r="P31" s="2"/>
    </row>
    <row r="32" spans="1:18" ht="21" customHeight="1">
      <c r="A32" s="2"/>
      <c r="B32" s="399" t="s">
        <v>355</v>
      </c>
      <c r="C32" s="363">
        <f t="shared" ref="C32:N32" si="15">C30-C49</f>
        <v>-38.055548179999988</v>
      </c>
      <c r="D32" s="363">
        <f t="shared" si="15"/>
        <v>-86.378823890000035</v>
      </c>
      <c r="E32" s="363">
        <f t="shared" si="15"/>
        <v>0.2875228500001441</v>
      </c>
      <c r="F32" s="363">
        <f t="shared" si="15"/>
        <v>242.82324164800002</v>
      </c>
      <c r="G32" s="363">
        <f t="shared" si="15"/>
        <v>-139.81957483000005</v>
      </c>
      <c r="H32" s="363">
        <f t="shared" si="15"/>
        <v>-148.39536552999999</v>
      </c>
      <c r="I32" s="363">
        <f t="shared" si="15"/>
        <v>-155.41481226700012</v>
      </c>
      <c r="J32" s="363">
        <f t="shared" si="15"/>
        <v>-88.471985606999993</v>
      </c>
      <c r="K32" s="363">
        <f t="shared" si="15"/>
        <v>-173.04946273999997</v>
      </c>
      <c r="L32" s="363">
        <f t="shared" si="15"/>
        <v>-70.264180819999979</v>
      </c>
      <c r="M32" s="363">
        <f t="shared" si="15"/>
        <v>-63.059823299999884</v>
      </c>
      <c r="N32" s="363">
        <f t="shared" si="15"/>
        <v>-187.17352172100175</v>
      </c>
      <c r="O32" s="364">
        <f t="shared" si="13"/>
        <v>-906.97233438700152</v>
      </c>
      <c r="P32" s="2"/>
      <c r="R32" s="23">
        <f>+O32+O19</f>
        <v>-296.59663588700153</v>
      </c>
    </row>
    <row r="33" spans="1:16" ht="24.95" customHeight="1">
      <c r="A33" s="2"/>
      <c r="B33" s="390" t="s">
        <v>332</v>
      </c>
      <c r="C33" s="363">
        <f>SUM(C34:C35)</f>
        <v>-5.8785574000000018</v>
      </c>
      <c r="D33" s="363">
        <f t="shared" ref="D33:N33" si="16">SUM(D34:D35)</f>
        <v>-17.72459538</v>
      </c>
      <c r="E33" s="363">
        <f t="shared" si="16"/>
        <v>-6.1963651000000013</v>
      </c>
      <c r="F33" s="363">
        <f t="shared" si="16"/>
        <v>1.7379614200000013</v>
      </c>
      <c r="G33" s="363">
        <f t="shared" si="16"/>
        <v>2.4360230299999976</v>
      </c>
      <c r="H33" s="363">
        <f t="shared" si="16"/>
        <v>-18.728637579999997</v>
      </c>
      <c r="I33" s="363">
        <f t="shared" si="16"/>
        <v>-10.21435507</v>
      </c>
      <c r="J33" s="363">
        <f t="shared" si="16"/>
        <v>-16.782517910000003</v>
      </c>
      <c r="K33" s="363">
        <f t="shared" si="16"/>
        <v>750.70363091000002</v>
      </c>
      <c r="L33" s="363">
        <f t="shared" si="16"/>
        <v>2.910170840000001</v>
      </c>
      <c r="M33" s="363">
        <f t="shared" si="16"/>
        <v>-22.791473070000002</v>
      </c>
      <c r="N33" s="363">
        <f t="shared" si="16"/>
        <v>128.30296480999999</v>
      </c>
      <c r="O33" s="364">
        <f t="shared" si="13"/>
        <v>787.7742495</v>
      </c>
      <c r="P33" s="2"/>
    </row>
    <row r="34" spans="1:16" ht="15.75">
      <c r="A34" s="2"/>
      <c r="B34" s="376" t="s">
        <v>276</v>
      </c>
      <c r="C34" s="366">
        <v>9.0821523399999986</v>
      </c>
      <c r="D34" s="366">
        <v>8.3386419600000004</v>
      </c>
      <c r="E34" s="366">
        <v>9.2515608399999998</v>
      </c>
      <c r="F34" s="366">
        <v>11.224272020000001</v>
      </c>
      <c r="G34" s="366">
        <v>26.216569069999998</v>
      </c>
      <c r="H34" s="366">
        <v>15.76992722</v>
      </c>
      <c r="I34" s="366">
        <v>6.8637930999999996</v>
      </c>
      <c r="J34" s="366">
        <v>8.3677548799999997</v>
      </c>
      <c r="K34" s="366">
        <v>769.90929405999998</v>
      </c>
      <c r="L34" s="366">
        <v>15.82529291</v>
      </c>
      <c r="M34" s="366">
        <v>4.2768998700000003</v>
      </c>
      <c r="N34" s="366">
        <v>173.68391395</v>
      </c>
      <c r="O34" s="367">
        <f t="shared" si="13"/>
        <v>1058.8100722199999</v>
      </c>
      <c r="P34" s="329"/>
    </row>
    <row r="35" spans="1:16" ht="15.75">
      <c r="A35" s="2"/>
      <c r="B35" s="376" t="s">
        <v>277</v>
      </c>
      <c r="C35" s="366">
        <v>-14.96070974</v>
      </c>
      <c r="D35" s="366">
        <v>-26.063237340000001</v>
      </c>
      <c r="E35" s="366">
        <v>-15.447925940000001</v>
      </c>
      <c r="F35" s="366">
        <v>-9.4863105999999995</v>
      </c>
      <c r="G35" s="366">
        <v>-23.780546040000001</v>
      </c>
      <c r="H35" s="366">
        <v>-34.498564799999997</v>
      </c>
      <c r="I35" s="366">
        <v>-17.078148169999999</v>
      </c>
      <c r="J35" s="366">
        <v>-25.150272790000002</v>
      </c>
      <c r="K35" s="366">
        <v>-19.205663149999999</v>
      </c>
      <c r="L35" s="366">
        <v>-12.915122069999999</v>
      </c>
      <c r="M35" s="366">
        <v>-27.068372940000003</v>
      </c>
      <c r="N35" s="366">
        <v>-45.380949139999998</v>
      </c>
      <c r="O35" s="367">
        <f t="shared" si="13"/>
        <v>-271.03582272</v>
      </c>
      <c r="P35" s="329"/>
    </row>
    <row r="36" spans="1:16" ht="24.95" customHeight="1">
      <c r="A36" s="2"/>
      <c r="B36" s="390" t="s">
        <v>333</v>
      </c>
      <c r="C36" s="363">
        <f>SUM(C37:C43)</f>
        <v>7.7242477599999901</v>
      </c>
      <c r="D36" s="363">
        <f t="shared" ref="D36:N36" si="17">SUM(D37:D43)</f>
        <v>67.228791450000031</v>
      </c>
      <c r="E36" s="363">
        <f t="shared" si="17"/>
        <v>-30.28471405000014</v>
      </c>
      <c r="F36" s="363">
        <f t="shared" si="17"/>
        <v>-281.27296291000005</v>
      </c>
      <c r="G36" s="363">
        <f t="shared" si="17"/>
        <v>100.65653847000004</v>
      </c>
      <c r="H36" s="363">
        <f t="shared" si="17"/>
        <v>130.07881530999998</v>
      </c>
      <c r="I36" s="363">
        <f t="shared" si="17"/>
        <v>128.14666268700012</v>
      </c>
      <c r="J36" s="363">
        <f t="shared" si="17"/>
        <v>68.222119236999987</v>
      </c>
      <c r="K36" s="363">
        <f t="shared" si="17"/>
        <v>-614.46609215000001</v>
      </c>
      <c r="L36" s="363">
        <f t="shared" si="17"/>
        <v>29.140131429999968</v>
      </c>
      <c r="M36" s="363">
        <f t="shared" si="17"/>
        <v>45.12257529999988</v>
      </c>
      <c r="N36" s="363">
        <f t="shared" si="17"/>
        <v>1.9159954410017548</v>
      </c>
      <c r="O36" s="364">
        <f t="shared" si="13"/>
        <v>-347.78789202499843</v>
      </c>
      <c r="P36" s="2"/>
    </row>
    <row r="37" spans="1:16" ht="15.75">
      <c r="A37" s="2"/>
      <c r="B37" s="376" t="s">
        <v>279</v>
      </c>
      <c r="C37" s="366">
        <v>-17.702999999999999</v>
      </c>
      <c r="D37" s="366">
        <v>23.73</v>
      </c>
      <c r="E37" s="366">
        <v>-28.158000000000001</v>
      </c>
      <c r="F37" s="366">
        <v>23.253</v>
      </c>
      <c r="G37" s="366">
        <v>-101.44114284999999</v>
      </c>
      <c r="H37" s="366">
        <v>36.587999999999994</v>
      </c>
      <c r="I37" s="366">
        <v>35.385999999999996</v>
      </c>
      <c r="J37" s="366">
        <v>16.902000000000001</v>
      </c>
      <c r="K37" s="366">
        <v>-58.112000000000002</v>
      </c>
      <c r="L37" s="366">
        <v>20.4693</v>
      </c>
      <c r="M37" s="366">
        <v>33.268999999999998</v>
      </c>
      <c r="N37" s="366">
        <v>10.721</v>
      </c>
      <c r="O37" s="367">
        <f t="shared" si="13"/>
        <v>-5.0958428500000075</v>
      </c>
      <c r="P37" s="2"/>
    </row>
    <row r="38" spans="1:16" ht="15.75">
      <c r="A38" s="2"/>
      <c r="B38" s="376" t="s">
        <v>282</v>
      </c>
      <c r="C38" s="366">
        <v>-39.658237</v>
      </c>
      <c r="D38" s="366">
        <v>36.023153700000009</v>
      </c>
      <c r="E38" s="366">
        <v>45.752996969999998</v>
      </c>
      <c r="F38" s="366">
        <v>-302.23652619999996</v>
      </c>
      <c r="G38" s="366">
        <v>176.07147295000001</v>
      </c>
      <c r="H38" s="366">
        <v>99.174542200000005</v>
      </c>
      <c r="I38" s="366">
        <v>92.297960989999993</v>
      </c>
      <c r="J38" s="366">
        <v>21.001179330000003</v>
      </c>
      <c r="K38" s="366">
        <v>-547.78385072000003</v>
      </c>
      <c r="L38" s="366">
        <v>34.095105930000003</v>
      </c>
      <c r="M38" s="366">
        <v>17.329409000000002</v>
      </c>
      <c r="N38" s="366">
        <v>100.47036083</v>
      </c>
      <c r="O38" s="367">
        <f t="shared" si="13"/>
        <v>-267.46243201999994</v>
      </c>
      <c r="P38" s="2"/>
    </row>
    <row r="39" spans="1:16" ht="15.75">
      <c r="A39" s="2"/>
      <c r="B39" s="376" t="s">
        <v>283</v>
      </c>
      <c r="C39" s="366">
        <v>0</v>
      </c>
      <c r="D39" s="366">
        <v>0</v>
      </c>
      <c r="E39" s="366">
        <v>0</v>
      </c>
      <c r="F39" s="366">
        <v>0</v>
      </c>
      <c r="G39" s="366">
        <v>0</v>
      </c>
      <c r="H39" s="366">
        <v>0</v>
      </c>
      <c r="I39" s="366">
        <v>0</v>
      </c>
      <c r="J39" s="366">
        <v>0</v>
      </c>
      <c r="K39" s="366">
        <v>0</v>
      </c>
      <c r="L39" s="366">
        <v>0</v>
      </c>
      <c r="M39" s="366">
        <v>0</v>
      </c>
      <c r="N39" s="366">
        <v>0</v>
      </c>
      <c r="O39" s="367">
        <f t="shared" si="13"/>
        <v>0</v>
      </c>
      <c r="P39" s="2"/>
    </row>
    <row r="40" spans="1:16" ht="15.75">
      <c r="A40" s="2"/>
      <c r="B40" s="376" t="s">
        <v>284</v>
      </c>
      <c r="C40" s="366">
        <v>104.64179026999999</v>
      </c>
      <c r="D40" s="366">
        <v>48.488824629999996</v>
      </c>
      <c r="E40" s="366">
        <v>29.867633470000001</v>
      </c>
      <c r="F40" s="366">
        <v>42.880288741999991</v>
      </c>
      <c r="G40" s="366">
        <v>11.745569210000006</v>
      </c>
      <c r="H40" s="366">
        <v>36.913956489999997</v>
      </c>
      <c r="I40" s="366">
        <v>39.022528529999995</v>
      </c>
      <c r="J40" s="366">
        <v>49.592604469999998</v>
      </c>
      <c r="K40" s="366">
        <v>9.7017920700000104</v>
      </c>
      <c r="L40" s="366">
        <v>24.574270049999999</v>
      </c>
      <c r="M40" s="366">
        <v>41.724996869999991</v>
      </c>
      <c r="N40" s="366">
        <v>-44.878200919999991</v>
      </c>
      <c r="O40" s="367">
        <f t="shared" si="13"/>
        <v>394.27605388200004</v>
      </c>
      <c r="P40" s="2"/>
    </row>
    <row r="41" spans="1:16" ht="15.75">
      <c r="A41" s="2"/>
      <c r="B41" s="376" t="s">
        <v>334</v>
      </c>
      <c r="C41" s="366">
        <v>0</v>
      </c>
      <c r="D41" s="366">
        <v>0</v>
      </c>
      <c r="E41" s="366">
        <v>0</v>
      </c>
      <c r="F41" s="366">
        <v>0</v>
      </c>
      <c r="G41" s="366">
        <v>0</v>
      </c>
      <c r="H41" s="366">
        <v>0</v>
      </c>
      <c r="I41" s="366">
        <v>0</v>
      </c>
      <c r="J41" s="366">
        <v>0</v>
      </c>
      <c r="K41" s="366">
        <v>0</v>
      </c>
      <c r="L41" s="366">
        <v>0</v>
      </c>
      <c r="M41" s="366">
        <v>0</v>
      </c>
      <c r="N41" s="366">
        <v>0</v>
      </c>
      <c r="O41" s="367">
        <f t="shared" si="13"/>
        <v>0</v>
      </c>
      <c r="P41" s="2"/>
    </row>
    <row r="42" spans="1:16" ht="15.75">
      <c r="A42" s="2"/>
      <c r="B42" s="376" t="s">
        <v>335</v>
      </c>
      <c r="C42" s="366">
        <v>-36.209857819999996</v>
      </c>
      <c r="D42" s="366">
        <v>-36.874627820000001</v>
      </c>
      <c r="E42" s="366">
        <v>-36.193556299999997</v>
      </c>
      <c r="F42" s="366">
        <v>-36.711759841999999</v>
      </c>
      <c r="G42" s="366">
        <v>-36.727013330000005</v>
      </c>
      <c r="H42" s="366">
        <v>-37.045187800000001</v>
      </c>
      <c r="I42" s="366">
        <v>-37.482504649999996</v>
      </c>
      <c r="J42" s="366">
        <v>-37.032384280000002</v>
      </c>
      <c r="K42" s="366">
        <v>-36.811923980000003</v>
      </c>
      <c r="L42" s="366">
        <v>-38.213878550000004</v>
      </c>
      <c r="M42" s="366">
        <v>-40.728721069999999</v>
      </c>
      <c r="N42" s="366">
        <v>-56.954561470000002</v>
      </c>
      <c r="O42" s="367">
        <f t="shared" si="13"/>
        <v>-466.98597691200007</v>
      </c>
      <c r="P42" s="2"/>
    </row>
    <row r="43" spans="1:16" ht="15.75">
      <c r="A43" s="2"/>
      <c r="B43" s="376" t="s">
        <v>336</v>
      </c>
      <c r="C43" s="366">
        <v>-3.346447689999998</v>
      </c>
      <c r="D43" s="366">
        <v>-4.1385590599999773</v>
      </c>
      <c r="E43" s="366">
        <v>-41.553788190000141</v>
      </c>
      <c r="F43" s="366">
        <v>-8.4579656100000875</v>
      </c>
      <c r="G43" s="366">
        <v>51.007652490000027</v>
      </c>
      <c r="H43" s="366">
        <v>-5.5524955799999987</v>
      </c>
      <c r="I43" s="366">
        <v>-1.0773221829998789</v>
      </c>
      <c r="J43" s="366">
        <v>17.758719716999991</v>
      </c>
      <c r="K43" s="366">
        <v>18.539890479999926</v>
      </c>
      <c r="L43" s="366">
        <v>-11.78466600000003</v>
      </c>
      <c r="M43" s="366">
        <v>-6.4721095000001085</v>
      </c>
      <c r="N43" s="366">
        <v>-7.442602998998268</v>
      </c>
      <c r="O43" s="367">
        <f t="shared" si="13"/>
        <v>-2.5196941249985443</v>
      </c>
      <c r="P43" s="2"/>
    </row>
    <row r="44" spans="1:16" ht="24.95" customHeight="1" thickBot="1">
      <c r="A44" s="2"/>
      <c r="B44" s="377" t="s">
        <v>337</v>
      </c>
      <c r="C44" s="378">
        <f t="shared" ref="C44:N44" si="18">-C30-C33-C36</f>
        <v>0</v>
      </c>
      <c r="D44" s="378">
        <f t="shared" si="18"/>
        <v>0</v>
      </c>
      <c r="E44" s="378">
        <f t="shared" si="18"/>
        <v>0</v>
      </c>
      <c r="F44" s="378">
        <f t="shared" si="18"/>
        <v>0</v>
      </c>
      <c r="G44" s="378">
        <f t="shared" si="18"/>
        <v>0</v>
      </c>
      <c r="H44" s="378">
        <f t="shared" si="18"/>
        <v>0</v>
      </c>
      <c r="I44" s="378">
        <f t="shared" si="18"/>
        <v>0</v>
      </c>
      <c r="J44" s="378">
        <f t="shared" si="18"/>
        <v>0</v>
      </c>
      <c r="K44" s="378">
        <f t="shared" si="18"/>
        <v>0</v>
      </c>
      <c r="L44" s="378">
        <f t="shared" si="18"/>
        <v>0</v>
      </c>
      <c r="M44" s="378">
        <f t="shared" si="18"/>
        <v>0</v>
      </c>
      <c r="N44" s="378">
        <f t="shared" si="18"/>
        <v>1.4210854715202004E-14</v>
      </c>
      <c r="O44" s="379">
        <f t="shared" si="13"/>
        <v>1.4210854715202004E-14</v>
      </c>
      <c r="P44" s="2"/>
    </row>
    <row r="45" spans="1:16" ht="15.75">
      <c r="A45" s="2"/>
      <c r="B45" s="48" t="s">
        <v>338</v>
      </c>
      <c r="C45" s="380"/>
      <c r="D45" s="380"/>
      <c r="E45" s="380"/>
      <c r="F45" s="380"/>
      <c r="G45" s="380"/>
      <c r="H45" s="380"/>
      <c r="I45" s="380"/>
      <c r="J45" s="380"/>
      <c r="K45" s="380"/>
      <c r="L45" s="380"/>
      <c r="M45" s="380"/>
      <c r="N45" s="380"/>
      <c r="O45" s="268"/>
      <c r="P45" s="2"/>
    </row>
    <row r="46" spans="1:16" ht="15.75">
      <c r="A46" s="2"/>
      <c r="B46" s="48" t="s">
        <v>356</v>
      </c>
      <c r="C46" s="380"/>
      <c r="D46" s="380"/>
      <c r="E46" s="380"/>
      <c r="F46" s="380"/>
      <c r="G46" s="380"/>
      <c r="H46" s="380"/>
      <c r="I46" s="380"/>
      <c r="J46" s="380"/>
      <c r="K46" s="380"/>
      <c r="L46" s="380"/>
      <c r="M46" s="380"/>
      <c r="N46" s="380"/>
      <c r="O46" s="268"/>
      <c r="P46" s="2"/>
    </row>
    <row r="47" spans="1:16">
      <c r="A47" s="2"/>
      <c r="B47" s="329"/>
      <c r="C47" s="268"/>
      <c r="D47" s="268"/>
      <c r="E47" s="268"/>
      <c r="F47" s="268"/>
      <c r="G47" s="268"/>
      <c r="H47" s="268"/>
      <c r="I47" s="268"/>
      <c r="J47" s="268"/>
      <c r="K47" s="268"/>
      <c r="L47" s="268"/>
      <c r="M47" s="268"/>
      <c r="N47" s="268"/>
      <c r="O47" s="268"/>
      <c r="P47" s="329"/>
    </row>
    <row r="48" spans="1:16" ht="16.5" thickBot="1">
      <c r="A48" s="2"/>
      <c r="B48" s="353" t="s">
        <v>340</v>
      </c>
      <c r="C48" s="268"/>
      <c r="D48" s="268"/>
      <c r="E48" s="268"/>
      <c r="F48" s="268"/>
      <c r="G48" s="268"/>
      <c r="H48" s="268"/>
      <c r="I48" s="268"/>
      <c r="J48" s="268"/>
      <c r="K48" s="268"/>
      <c r="L48" s="268"/>
      <c r="M48" s="268"/>
      <c r="N48" s="268"/>
      <c r="O48" s="268"/>
      <c r="P48" s="329"/>
    </row>
    <row r="49" spans="1:16" ht="24.95" customHeight="1" thickBot="1">
      <c r="A49" s="2"/>
      <c r="B49" s="407" t="s">
        <v>357</v>
      </c>
      <c r="C49" s="413">
        <v>36.209857819999996</v>
      </c>
      <c r="D49" s="414">
        <v>36.874627820000001</v>
      </c>
      <c r="E49" s="414">
        <v>36.193556299999997</v>
      </c>
      <c r="F49" s="414">
        <v>36.711759841999999</v>
      </c>
      <c r="G49" s="414">
        <v>36.727013330000005</v>
      </c>
      <c r="H49" s="414">
        <v>37.045187800000001</v>
      </c>
      <c r="I49" s="414">
        <v>37.482504649999996</v>
      </c>
      <c r="J49" s="414">
        <v>37.032384280000002</v>
      </c>
      <c r="K49" s="414">
        <v>36.811923980000003</v>
      </c>
      <c r="L49" s="414">
        <v>38.213878550000004</v>
      </c>
      <c r="M49" s="414">
        <v>40.728721069999999</v>
      </c>
      <c r="N49" s="415">
        <v>56.954561470000002</v>
      </c>
      <c r="O49" s="416">
        <f>SUM(C49:N49)</f>
        <v>466.98597691200007</v>
      </c>
      <c r="P49" s="329"/>
    </row>
    <row r="50" spans="1:16" ht="15.75">
      <c r="B50" s="353" t="s">
        <v>18</v>
      </c>
      <c r="C50" s="268"/>
      <c r="D50" s="268"/>
      <c r="E50" s="268"/>
      <c r="F50" s="268"/>
      <c r="G50" s="268"/>
      <c r="H50" s="268"/>
      <c r="I50" s="268"/>
      <c r="J50" s="268"/>
      <c r="K50" s="268"/>
      <c r="L50" s="268"/>
      <c r="M50" s="268"/>
      <c r="N50" s="268"/>
      <c r="O50" s="268"/>
    </row>
    <row r="51" spans="1:16" ht="15.75">
      <c r="B51" s="353" t="s">
        <v>515</v>
      </c>
      <c r="C51" s="268"/>
      <c r="D51" s="268"/>
      <c r="E51" s="268"/>
      <c r="F51" s="268"/>
      <c r="G51" s="268"/>
      <c r="H51" s="268"/>
      <c r="I51" s="268"/>
      <c r="J51" s="268"/>
      <c r="K51" s="268"/>
      <c r="L51" s="268"/>
      <c r="M51" s="268"/>
      <c r="N51" s="268"/>
      <c r="O51" s="268"/>
    </row>
    <row r="52" spans="1:16" ht="15.75">
      <c r="B52" s="353" t="s">
        <v>55</v>
      </c>
      <c r="C52" s="2"/>
      <c r="D52" s="2"/>
      <c r="E52" s="2"/>
      <c r="F52" s="2"/>
      <c r="G52" s="2"/>
      <c r="H52" s="2"/>
      <c r="I52" s="2"/>
      <c r="J52" s="2"/>
      <c r="K52" s="2"/>
      <c r="L52" s="2"/>
      <c r="M52" s="2"/>
      <c r="N52" s="2"/>
      <c r="O52" s="2"/>
    </row>
    <row r="53" spans="1:16" ht="15.75" thickBot="1">
      <c r="B53" s="2"/>
      <c r="C53" s="2"/>
      <c r="D53" s="2"/>
      <c r="E53" s="2"/>
      <c r="F53" s="2"/>
      <c r="G53" s="2"/>
      <c r="H53" s="2"/>
      <c r="I53" s="2"/>
      <c r="J53" s="2"/>
      <c r="K53" s="2"/>
      <c r="L53" s="2"/>
      <c r="M53" s="2"/>
      <c r="N53" s="2"/>
      <c r="O53" s="2"/>
    </row>
    <row r="54" spans="1:16"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514</v>
      </c>
    </row>
    <row r="55" spans="1:16" ht="15.75">
      <c r="B55" s="358"/>
      <c r="C55" s="359"/>
      <c r="D55" s="359"/>
      <c r="E55" s="359"/>
      <c r="F55" s="359"/>
      <c r="G55" s="359"/>
      <c r="H55" s="359"/>
      <c r="I55" s="359"/>
      <c r="J55" s="359"/>
      <c r="K55" s="359"/>
      <c r="L55" s="359"/>
      <c r="M55" s="359"/>
      <c r="N55" s="359"/>
      <c r="O55" s="360"/>
    </row>
    <row r="56" spans="1:16" ht="24.95" customHeight="1">
      <c r="B56" s="390" t="s">
        <v>239</v>
      </c>
      <c r="C56" s="391">
        <f t="shared" ref="C56:O56" si="19">C7/$O$93</f>
        <v>1.921689959753858E-2</v>
      </c>
      <c r="D56" s="391">
        <f t="shared" si="19"/>
        <v>1.548977333981898E-2</v>
      </c>
      <c r="E56" s="391">
        <f t="shared" si="19"/>
        <v>1.9157768989889558E-2</v>
      </c>
      <c r="F56" s="391">
        <f t="shared" si="19"/>
        <v>3.1276773720017331E-2</v>
      </c>
      <c r="G56" s="391">
        <f t="shared" si="19"/>
        <v>1.6199678319001019E-2</v>
      </c>
      <c r="H56" s="391">
        <f t="shared" si="19"/>
        <v>1.5878077845943986E-2</v>
      </c>
      <c r="I56" s="391">
        <f t="shared" si="19"/>
        <v>1.707549812591868E-2</v>
      </c>
      <c r="J56" s="391">
        <f t="shared" si="19"/>
        <v>1.5139096580250842E-2</v>
      </c>
      <c r="K56" s="391">
        <f t="shared" si="19"/>
        <v>1.5196799041492964E-2</v>
      </c>
      <c r="L56" s="391">
        <f t="shared" si="19"/>
        <v>1.6941044796571752E-2</v>
      </c>
      <c r="M56" s="391">
        <f t="shared" si="19"/>
        <v>1.7028777906625235E-2</v>
      </c>
      <c r="N56" s="391">
        <f t="shared" si="19"/>
        <v>2.0766065974770508E-2</v>
      </c>
      <c r="O56" s="392">
        <f t="shared" si="19"/>
        <v>0.21936625423783945</v>
      </c>
    </row>
    <row r="57" spans="1:16" ht="21" customHeight="1">
      <c r="B57" s="376" t="s">
        <v>240</v>
      </c>
      <c r="C57" s="393">
        <f t="shared" ref="C57:O57" si="20">C8/$O$93</f>
        <v>1.9131723880838135E-2</v>
      </c>
      <c r="D57" s="393">
        <f t="shared" si="20"/>
        <v>1.5385177039649065E-2</v>
      </c>
      <c r="E57" s="393">
        <f t="shared" si="20"/>
        <v>1.9021416957200468E-2</v>
      </c>
      <c r="F57" s="393">
        <f t="shared" si="20"/>
        <v>3.1132596362577328E-2</v>
      </c>
      <c r="G57" s="393">
        <f t="shared" si="20"/>
        <v>1.6088188157020591E-2</v>
      </c>
      <c r="H57" s="393">
        <f t="shared" si="20"/>
        <v>1.5726808955419423E-2</v>
      </c>
      <c r="I57" s="393">
        <f t="shared" si="20"/>
        <v>1.6615937870234184E-2</v>
      </c>
      <c r="J57" s="393">
        <f t="shared" si="20"/>
        <v>1.5011038351036825E-2</v>
      </c>
      <c r="K57" s="393">
        <f t="shared" si="20"/>
        <v>1.5099633223227774E-2</v>
      </c>
      <c r="L57" s="393">
        <f t="shared" si="20"/>
        <v>1.6771128710198122E-2</v>
      </c>
      <c r="M57" s="393">
        <f t="shared" si="20"/>
        <v>1.6743768416272491E-2</v>
      </c>
      <c r="N57" s="393">
        <f t="shared" si="20"/>
        <v>2.0586932903577812E-2</v>
      </c>
      <c r="O57" s="394">
        <f t="shared" si="20"/>
        <v>0.2173143508272522</v>
      </c>
    </row>
    <row r="58" spans="1:16" ht="18.75">
      <c r="B58" s="371" t="s">
        <v>351</v>
      </c>
      <c r="C58" s="393">
        <f t="shared" ref="C58:O58" si="21">C9/$O$93</f>
        <v>1.607160096479204E-2</v>
      </c>
      <c r="D58" s="393">
        <f t="shared" si="21"/>
        <v>1.2575370462793008E-2</v>
      </c>
      <c r="E58" s="393">
        <f t="shared" si="21"/>
        <v>1.3340509215273265E-2</v>
      </c>
      <c r="F58" s="393">
        <f t="shared" si="21"/>
        <v>2.8624439795215166E-2</v>
      </c>
      <c r="G58" s="393">
        <f t="shared" si="21"/>
        <v>1.3327854975353498E-2</v>
      </c>
      <c r="H58" s="393">
        <f t="shared" si="21"/>
        <v>1.3200128170219096E-2</v>
      </c>
      <c r="I58" s="393">
        <f t="shared" si="21"/>
        <v>1.357640211353103E-2</v>
      </c>
      <c r="J58" s="393">
        <f t="shared" si="21"/>
        <v>1.2524471727450453E-2</v>
      </c>
      <c r="K58" s="393">
        <f t="shared" si="21"/>
        <v>1.2533085637575814E-2</v>
      </c>
      <c r="L58" s="393">
        <f t="shared" si="21"/>
        <v>1.3662740643646152E-2</v>
      </c>
      <c r="M58" s="393">
        <f t="shared" si="21"/>
        <v>1.3450709899807336E-2</v>
      </c>
      <c r="N58" s="393">
        <f t="shared" si="21"/>
        <v>1.3668843229481791E-2</v>
      </c>
      <c r="O58" s="394">
        <f t="shared" si="21"/>
        <v>0.17655615683513864</v>
      </c>
    </row>
    <row r="59" spans="1:16" ht="15.75">
      <c r="B59" s="371" t="s">
        <v>317</v>
      </c>
      <c r="C59" s="393">
        <f t="shared" ref="C59:O59" si="22">C10/$O$93</f>
        <v>2.2162672214582351E-3</v>
      </c>
      <c r="D59" s="393">
        <f t="shared" si="22"/>
        <v>2.5525364581005039E-3</v>
      </c>
      <c r="E59" s="393">
        <f t="shared" si="22"/>
        <v>5.3929058763439166E-3</v>
      </c>
      <c r="F59" s="393">
        <f t="shared" si="22"/>
        <v>2.2868117672938241E-3</v>
      </c>
      <c r="G59" s="393">
        <f t="shared" si="22"/>
        <v>2.3315346327943427E-3</v>
      </c>
      <c r="H59" s="393">
        <f t="shared" si="22"/>
        <v>2.2506956266567287E-3</v>
      </c>
      <c r="I59" s="393">
        <f t="shared" si="22"/>
        <v>2.4350307860191464E-3</v>
      </c>
      <c r="J59" s="393">
        <f t="shared" si="22"/>
        <v>2.3836303539474016E-3</v>
      </c>
      <c r="K59" s="393">
        <f t="shared" si="22"/>
        <v>2.3071353864634338E-3</v>
      </c>
      <c r="L59" s="393">
        <f t="shared" si="22"/>
        <v>2.2907958069300553E-3</v>
      </c>
      <c r="M59" s="393">
        <f t="shared" si="22"/>
        <v>2.3216964321992146E-3</v>
      </c>
      <c r="N59" s="393">
        <f t="shared" si="22"/>
        <v>6.5095798080595062E-3</v>
      </c>
      <c r="O59" s="394">
        <f t="shared" si="22"/>
        <v>3.5278620156266316E-2</v>
      </c>
    </row>
    <row r="60" spans="1:16" ht="15.75">
      <c r="B60" s="371" t="s">
        <v>318</v>
      </c>
      <c r="C60" s="393">
        <f t="shared" ref="C60:O60" si="23">C11/$O$93</f>
        <v>8.4385569458786109E-4</v>
      </c>
      <c r="D60" s="393">
        <f t="shared" si="23"/>
        <v>2.572701187555523E-4</v>
      </c>
      <c r="E60" s="393">
        <f t="shared" si="23"/>
        <v>2.8800186558328595E-4</v>
      </c>
      <c r="F60" s="393">
        <f t="shared" si="23"/>
        <v>2.2134480006833854E-4</v>
      </c>
      <c r="G60" s="393">
        <f t="shared" si="23"/>
        <v>4.2879854887274915E-4</v>
      </c>
      <c r="H60" s="393">
        <f t="shared" si="23"/>
        <v>2.75985158543597E-4</v>
      </c>
      <c r="I60" s="393">
        <f t="shared" si="23"/>
        <v>6.0450497068400752E-4</v>
      </c>
      <c r="J60" s="393">
        <f t="shared" si="23"/>
        <v>1.0293626963897069E-4</v>
      </c>
      <c r="K60" s="393">
        <f t="shared" si="23"/>
        <v>2.594121991885265E-4</v>
      </c>
      <c r="L60" s="393">
        <f t="shared" si="23"/>
        <v>8.1759225962191697E-4</v>
      </c>
      <c r="M60" s="393">
        <f t="shared" si="23"/>
        <v>9.7136208426594007E-4</v>
      </c>
      <c r="N60" s="393">
        <f t="shared" si="23"/>
        <v>4.0850986603651387E-4</v>
      </c>
      <c r="O60" s="394">
        <f t="shared" si="23"/>
        <v>5.4795738358472601E-3</v>
      </c>
    </row>
    <row r="61" spans="1:16" ht="21" customHeight="1">
      <c r="B61" s="376" t="s">
        <v>244</v>
      </c>
      <c r="C61" s="393">
        <f t="shared" ref="C61:O61" si="24">C12/$O$93</f>
        <v>0</v>
      </c>
      <c r="D61" s="393">
        <f t="shared" si="24"/>
        <v>9.636633947773405E-8</v>
      </c>
      <c r="E61" s="393">
        <f t="shared" si="24"/>
        <v>0</v>
      </c>
      <c r="F61" s="393">
        <f t="shared" si="24"/>
        <v>0</v>
      </c>
      <c r="G61" s="393">
        <f t="shared" si="24"/>
        <v>5.5460980539952474E-7</v>
      </c>
      <c r="H61" s="393">
        <f t="shared" si="24"/>
        <v>0</v>
      </c>
      <c r="I61" s="393">
        <f t="shared" si="24"/>
        <v>0</v>
      </c>
      <c r="J61" s="393">
        <f t="shared" si="24"/>
        <v>0</v>
      </c>
      <c r="K61" s="393">
        <f t="shared" si="24"/>
        <v>5.4883114457407377E-7</v>
      </c>
      <c r="L61" s="393">
        <f t="shared" si="24"/>
        <v>4.2272745178142177E-7</v>
      </c>
      <c r="M61" s="393">
        <f t="shared" si="24"/>
        <v>0</v>
      </c>
      <c r="N61" s="393">
        <f t="shared" si="24"/>
        <v>7.5203144979500709E-9</v>
      </c>
      <c r="O61" s="394">
        <f t="shared" si="24"/>
        <v>1.6300550557307046E-6</v>
      </c>
    </row>
    <row r="62" spans="1:16" ht="21" customHeight="1">
      <c r="B62" s="376" t="s">
        <v>245</v>
      </c>
      <c r="C62" s="393">
        <f t="shared" ref="C62:O62" si="25">C13/$O$93</f>
        <v>8.5175716700444865E-5</v>
      </c>
      <c r="D62" s="393">
        <f t="shared" si="25"/>
        <v>1.0449993383043863E-4</v>
      </c>
      <c r="E62" s="393">
        <f t="shared" si="25"/>
        <v>1.3635203268909114E-4</v>
      </c>
      <c r="F62" s="393">
        <f t="shared" si="25"/>
        <v>1.4417735744000367E-4</v>
      </c>
      <c r="G62" s="393">
        <f t="shared" si="25"/>
        <v>1.109355521750311E-4</v>
      </c>
      <c r="H62" s="393">
        <f t="shared" si="25"/>
        <v>1.5126889052456308E-4</v>
      </c>
      <c r="I62" s="393">
        <f t="shared" si="25"/>
        <v>4.595602556844965E-4</v>
      </c>
      <c r="J62" s="393">
        <f t="shared" si="25"/>
        <v>1.2805822921401624E-4</v>
      </c>
      <c r="K62" s="393">
        <f t="shared" si="25"/>
        <v>9.6616987120614915E-5</v>
      </c>
      <c r="L62" s="393">
        <f t="shared" si="25"/>
        <v>1.6949335892184775E-4</v>
      </c>
      <c r="M62" s="393">
        <f t="shared" si="25"/>
        <v>2.8500949035274357E-4</v>
      </c>
      <c r="N62" s="393">
        <f t="shared" si="25"/>
        <v>1.7912555087819623E-4</v>
      </c>
      <c r="O62" s="394">
        <f t="shared" si="25"/>
        <v>2.0502733555314875E-3</v>
      </c>
    </row>
    <row r="63" spans="1:16" ht="24.95" customHeight="1">
      <c r="B63" s="390" t="s">
        <v>246</v>
      </c>
      <c r="C63" s="391">
        <f t="shared" ref="C63:O63" si="26">C14/$O$93</f>
        <v>1.9298590916313429E-2</v>
      </c>
      <c r="D63" s="391">
        <f t="shared" si="26"/>
        <v>1.7680857580973614E-2</v>
      </c>
      <c r="E63" s="391">
        <f t="shared" si="26"/>
        <v>1.7543095407212789E-2</v>
      </c>
      <c r="F63" s="391">
        <f t="shared" si="26"/>
        <v>1.8904393492898609E-2</v>
      </c>
      <c r="G63" s="391">
        <f t="shared" si="26"/>
        <v>2.0762614490381515E-2</v>
      </c>
      <c r="H63" s="391">
        <f t="shared" si="26"/>
        <v>2.080650086949902E-2</v>
      </c>
      <c r="I63" s="391">
        <f t="shared" si="26"/>
        <v>2.2295250010733191E-2</v>
      </c>
      <c r="J63" s="391">
        <f t="shared" si="26"/>
        <v>1.7415842973213056E-2</v>
      </c>
      <c r="K63" s="391">
        <f t="shared" si="26"/>
        <v>2.1226751003719214E-2</v>
      </c>
      <c r="L63" s="391">
        <f t="shared" si="26"/>
        <v>1.835960964163539E-2</v>
      </c>
      <c r="M63" s="391">
        <f t="shared" si="26"/>
        <v>1.8017165357955195E-2</v>
      </c>
      <c r="N63" s="391">
        <f t="shared" si="26"/>
        <v>2.6529632184432047E-2</v>
      </c>
      <c r="O63" s="392">
        <f t="shared" si="26"/>
        <v>0.23884030392896705</v>
      </c>
    </row>
    <row r="64" spans="1:16" ht="21" customHeight="1">
      <c r="B64" s="376" t="s">
        <v>247</v>
      </c>
      <c r="C64" s="393">
        <f t="shared" ref="C64:O64" si="27">C15/$O$93</f>
        <v>1.7557906402491514E-2</v>
      </c>
      <c r="D64" s="393">
        <f t="shared" si="27"/>
        <v>1.5237966409431574E-2</v>
      </c>
      <c r="E64" s="393">
        <f t="shared" si="27"/>
        <v>1.5055078287332576E-2</v>
      </c>
      <c r="F64" s="393">
        <f t="shared" si="27"/>
        <v>1.6672397787170362E-2</v>
      </c>
      <c r="G64" s="393">
        <f t="shared" si="27"/>
        <v>1.7743941496038459E-2</v>
      </c>
      <c r="H64" s="393">
        <f t="shared" si="27"/>
        <v>1.8540402898824308E-2</v>
      </c>
      <c r="I64" s="393">
        <f t="shared" si="27"/>
        <v>1.8836987447368642E-2</v>
      </c>
      <c r="J64" s="393">
        <f t="shared" si="27"/>
        <v>1.4997789428206466E-2</v>
      </c>
      <c r="K64" s="393">
        <f t="shared" si="27"/>
        <v>1.8267405072018596E-2</v>
      </c>
      <c r="L64" s="393">
        <f t="shared" si="27"/>
        <v>1.5870999580520385E-2</v>
      </c>
      <c r="M64" s="393">
        <f t="shared" si="27"/>
        <v>1.5768112718962602E-2</v>
      </c>
      <c r="N64" s="393">
        <f t="shared" si="27"/>
        <v>2.3810244507594447E-2</v>
      </c>
      <c r="O64" s="394">
        <f t="shared" si="27"/>
        <v>0.20835923203595993</v>
      </c>
    </row>
    <row r="65" spans="2:15" ht="15.75">
      <c r="B65" s="371" t="s">
        <v>321</v>
      </c>
      <c r="C65" s="393">
        <f t="shared" ref="C65:O65" si="28">C16/$O$93</f>
        <v>1.0666710209520714E-2</v>
      </c>
      <c r="D65" s="393">
        <f t="shared" si="28"/>
        <v>1.1197876584805255E-2</v>
      </c>
      <c r="E65" s="393">
        <f t="shared" si="28"/>
        <v>1.1148857885597031E-2</v>
      </c>
      <c r="F65" s="393">
        <f t="shared" si="28"/>
        <v>1.1606251857395078E-2</v>
      </c>
      <c r="G65" s="393">
        <f t="shared" si="28"/>
        <v>1.2918055363894967E-2</v>
      </c>
      <c r="H65" s="393">
        <f t="shared" si="28"/>
        <v>1.2377361364257015E-2</v>
      </c>
      <c r="I65" s="393">
        <f t="shared" si="28"/>
        <v>1.1173939421102647E-2</v>
      </c>
      <c r="J65" s="393">
        <f t="shared" si="28"/>
        <v>1.0773196807418249E-2</v>
      </c>
      <c r="K65" s="393">
        <f t="shared" si="28"/>
        <v>1.2832051055570479E-2</v>
      </c>
      <c r="L65" s="393">
        <f t="shared" si="28"/>
        <v>1.1167937035900195E-2</v>
      </c>
      <c r="M65" s="393">
        <f t="shared" si="28"/>
        <v>1.1405609988306354E-2</v>
      </c>
      <c r="N65" s="393">
        <f t="shared" si="28"/>
        <v>1.840202185388079E-2</v>
      </c>
      <c r="O65" s="394">
        <f t="shared" si="28"/>
        <v>0.14566986942764876</v>
      </c>
    </row>
    <row r="66" spans="2:15" ht="15.75">
      <c r="B66" s="395" t="s">
        <v>322</v>
      </c>
      <c r="C66" s="393">
        <f t="shared" ref="C66:O66" si="29">C17/$O$93</f>
        <v>7.4797488057500678E-3</v>
      </c>
      <c r="D66" s="393">
        <f t="shared" si="29"/>
        <v>7.6616341379942962E-3</v>
      </c>
      <c r="E66" s="393">
        <f t="shared" si="29"/>
        <v>7.5961183286033518E-3</v>
      </c>
      <c r="F66" s="393">
        <f t="shared" si="29"/>
        <v>8.2723479066628535E-3</v>
      </c>
      <c r="G66" s="393">
        <f t="shared" si="29"/>
        <v>7.9183065505099483E-3</v>
      </c>
      <c r="H66" s="393">
        <f t="shared" si="29"/>
        <v>8.2808367013455647E-3</v>
      </c>
      <c r="I66" s="393">
        <f t="shared" si="29"/>
        <v>7.6616150241529965E-3</v>
      </c>
      <c r="J66" s="393">
        <f t="shared" si="29"/>
        <v>7.51012607469105E-3</v>
      </c>
      <c r="K66" s="393">
        <f t="shared" si="29"/>
        <v>8.2078552514399071E-3</v>
      </c>
      <c r="L66" s="393">
        <f t="shared" si="29"/>
        <v>7.4243740808184839E-3</v>
      </c>
      <c r="M66" s="393">
        <f t="shared" si="29"/>
        <v>7.5434112289413709E-3</v>
      </c>
      <c r="N66" s="393">
        <f t="shared" si="29"/>
        <v>1.3225395181505985E-2</v>
      </c>
      <c r="O66" s="394">
        <f t="shared" si="29"/>
        <v>9.8781769272415873E-2</v>
      </c>
    </row>
    <row r="67" spans="2:15" ht="15.75">
      <c r="B67" s="395" t="s">
        <v>323</v>
      </c>
      <c r="C67" s="393">
        <f t="shared" ref="C67:O67" si="30">C18/$O$93</f>
        <v>3.1869614037706466E-3</v>
      </c>
      <c r="D67" s="393">
        <f t="shared" si="30"/>
        <v>3.5362424468109582E-3</v>
      </c>
      <c r="E67" s="393">
        <f t="shared" si="30"/>
        <v>3.5527395569936795E-3</v>
      </c>
      <c r="F67" s="393">
        <f t="shared" si="30"/>
        <v>3.3339039507322243E-3</v>
      </c>
      <c r="G67" s="393">
        <f t="shared" si="30"/>
        <v>4.9997488133850191E-3</v>
      </c>
      <c r="H67" s="393">
        <f t="shared" si="30"/>
        <v>4.0965246629114513E-3</v>
      </c>
      <c r="I67" s="393">
        <f t="shared" si="30"/>
        <v>3.5123243969496496E-3</v>
      </c>
      <c r="J67" s="393">
        <f t="shared" si="30"/>
        <v>3.2630707327271991E-3</v>
      </c>
      <c r="K67" s="393">
        <f t="shared" si="30"/>
        <v>4.6241958041305731E-3</v>
      </c>
      <c r="L67" s="393">
        <f t="shared" si="30"/>
        <v>3.743562955081711E-3</v>
      </c>
      <c r="M67" s="393">
        <f t="shared" si="30"/>
        <v>3.8621987593649844E-3</v>
      </c>
      <c r="N67" s="393">
        <f t="shared" si="30"/>
        <v>5.1766266723748044E-3</v>
      </c>
      <c r="O67" s="394">
        <f t="shared" si="30"/>
        <v>4.6888100155232891E-2</v>
      </c>
    </row>
    <row r="68" spans="2:15" ht="15.75">
      <c r="B68" s="371" t="s">
        <v>352</v>
      </c>
      <c r="C68" s="393">
        <f t="shared" ref="C68:O68" si="31">C19/$O$93</f>
        <v>4.2467720903429174E-3</v>
      </c>
      <c r="D68" s="393">
        <f t="shared" si="31"/>
        <v>1.4416384672208387E-3</v>
      </c>
      <c r="E68" s="393">
        <f t="shared" si="31"/>
        <v>1.1964322846379949E-3</v>
      </c>
      <c r="F68" s="393">
        <f t="shared" si="31"/>
        <v>1.9826161882172148E-3</v>
      </c>
      <c r="G68" s="393">
        <f t="shared" si="31"/>
        <v>1.6969673591528879E-3</v>
      </c>
      <c r="H68" s="393">
        <f t="shared" si="31"/>
        <v>2.8952098517846083E-3</v>
      </c>
      <c r="I68" s="393">
        <f t="shared" si="31"/>
        <v>4.3383192940261049E-3</v>
      </c>
      <c r="J68" s="393">
        <f t="shared" si="31"/>
        <v>1.3509049247415292E-3</v>
      </c>
      <c r="K68" s="393">
        <f t="shared" si="31"/>
        <v>1.8014589268492177E-3</v>
      </c>
      <c r="L68" s="393">
        <f t="shared" si="31"/>
        <v>1.9716622028400246E-3</v>
      </c>
      <c r="M68" s="393">
        <f t="shared" si="31"/>
        <v>1.691140817678736E-3</v>
      </c>
      <c r="N68" s="393">
        <f t="shared" si="31"/>
        <v>2.402457691536537E-3</v>
      </c>
      <c r="O68" s="394">
        <f t="shared" si="31"/>
        <v>2.7015580099028613E-2</v>
      </c>
    </row>
    <row r="69" spans="2:15" ht="15.75">
      <c r="B69" s="371" t="s">
        <v>325</v>
      </c>
      <c r="C69" s="393">
        <f t="shared" ref="C69:O69" si="32">C20/$O$93</f>
        <v>2.6444241026278826E-3</v>
      </c>
      <c r="D69" s="393">
        <f t="shared" si="32"/>
        <v>2.5984513574054801E-3</v>
      </c>
      <c r="E69" s="393">
        <f t="shared" si="32"/>
        <v>2.7097881170975507E-3</v>
      </c>
      <c r="F69" s="393">
        <f t="shared" si="32"/>
        <v>3.0835297415580695E-3</v>
      </c>
      <c r="G69" s="393">
        <f t="shared" si="32"/>
        <v>3.128918772990603E-3</v>
      </c>
      <c r="H69" s="393">
        <f t="shared" si="32"/>
        <v>3.2678316827826795E-3</v>
      </c>
      <c r="I69" s="393">
        <f t="shared" si="32"/>
        <v>3.3247287322398901E-3</v>
      </c>
      <c r="J69" s="393">
        <f t="shared" si="32"/>
        <v>2.8736876960466892E-3</v>
      </c>
      <c r="K69" s="393">
        <f t="shared" si="32"/>
        <v>3.6338950895988971E-3</v>
      </c>
      <c r="L69" s="393">
        <f t="shared" si="32"/>
        <v>2.731400341780169E-3</v>
      </c>
      <c r="M69" s="393">
        <f t="shared" si="32"/>
        <v>2.6713619129775106E-3</v>
      </c>
      <c r="N69" s="393">
        <f t="shared" si="32"/>
        <v>3.0057649621771246E-3</v>
      </c>
      <c r="O69" s="394">
        <f t="shared" si="32"/>
        <v>3.5673782509282548E-2</v>
      </c>
    </row>
    <row r="70" spans="2:15" ht="21" customHeight="1">
      <c r="B70" s="376" t="s">
        <v>259</v>
      </c>
      <c r="C70" s="393">
        <f t="shared" ref="C70:O70" si="33">C21/$O$93</f>
        <v>1.7406845138219136E-3</v>
      </c>
      <c r="D70" s="393">
        <f t="shared" si="33"/>
        <v>2.4428911715420427E-3</v>
      </c>
      <c r="E70" s="393">
        <f t="shared" si="33"/>
        <v>2.4880171198802129E-3</v>
      </c>
      <c r="F70" s="393">
        <f t="shared" si="33"/>
        <v>2.2325111263342906E-3</v>
      </c>
      <c r="G70" s="393">
        <f t="shared" si="33"/>
        <v>3.018672994343055E-3</v>
      </c>
      <c r="H70" s="393">
        <f t="shared" si="33"/>
        <v>2.2764040369850224E-3</v>
      </c>
      <c r="I70" s="393">
        <f t="shared" si="33"/>
        <v>3.4582625633645479E-3</v>
      </c>
      <c r="J70" s="393">
        <f t="shared" si="33"/>
        <v>2.4180535450065883E-3</v>
      </c>
      <c r="K70" s="393">
        <f t="shared" si="33"/>
        <v>2.9593459317006198E-3</v>
      </c>
      <c r="L70" s="393">
        <f t="shared" si="33"/>
        <v>2.4886100611150033E-3</v>
      </c>
      <c r="M70" s="393">
        <f t="shared" si="33"/>
        <v>2.2490526389925937E-3</v>
      </c>
      <c r="N70" s="393">
        <f t="shared" si="33"/>
        <v>2.7295077225853309E-3</v>
      </c>
      <c r="O70" s="394">
        <f t="shared" si="33"/>
        <v>3.0502013425671225E-2</v>
      </c>
    </row>
    <row r="71" spans="2:15" ht="15.75">
      <c r="B71" s="371" t="s">
        <v>260</v>
      </c>
      <c r="C71" s="393">
        <f t="shared" ref="C71:O71" si="34">C22/$O$93</f>
        <v>1.5864804057322754E-3</v>
      </c>
      <c r="D71" s="393">
        <f t="shared" si="34"/>
        <v>2.2526836372412026E-3</v>
      </c>
      <c r="E71" s="393">
        <f t="shared" si="34"/>
        <v>2.3194273760294456E-3</v>
      </c>
      <c r="F71" s="393">
        <f t="shared" si="34"/>
        <v>2.0416477702406934E-3</v>
      </c>
      <c r="G71" s="393">
        <f t="shared" si="34"/>
        <v>2.8228447930972972E-3</v>
      </c>
      <c r="H71" s="393">
        <f t="shared" si="34"/>
        <v>2.1237167029898459E-3</v>
      </c>
      <c r="I71" s="393">
        <f t="shared" si="34"/>
        <v>2.984471807894051E-3</v>
      </c>
      <c r="J71" s="393">
        <f t="shared" si="34"/>
        <v>1.9563880429832158E-3</v>
      </c>
      <c r="K71" s="393">
        <f t="shared" si="34"/>
        <v>2.3259311676117039E-3</v>
      </c>
      <c r="L71" s="393">
        <f t="shared" si="34"/>
        <v>2.4502492652744351E-3</v>
      </c>
      <c r="M71" s="393">
        <f t="shared" si="34"/>
        <v>2.1394992844171348E-3</v>
      </c>
      <c r="N71" s="393">
        <f t="shared" si="34"/>
        <v>2.641643913263434E-3</v>
      </c>
      <c r="O71" s="394">
        <f t="shared" si="34"/>
        <v>2.7644984166774741E-2</v>
      </c>
    </row>
    <row r="72" spans="2:15" ht="15.75">
      <c r="B72" s="371" t="s">
        <v>326</v>
      </c>
      <c r="C72" s="393">
        <f t="shared" ref="C72:O72" si="35">C23/$O$93</f>
        <v>1.5420410808963828E-4</v>
      </c>
      <c r="D72" s="393">
        <f t="shared" si="35"/>
        <v>1.9020753430084003E-4</v>
      </c>
      <c r="E72" s="393">
        <f t="shared" si="35"/>
        <v>1.6858974385076749E-4</v>
      </c>
      <c r="F72" s="393">
        <f t="shared" si="35"/>
        <v>1.9086335609359696E-4</v>
      </c>
      <c r="G72" s="393">
        <f t="shared" si="35"/>
        <v>1.9582820124575817E-4</v>
      </c>
      <c r="H72" s="393">
        <f t="shared" si="35"/>
        <v>1.5268733399517647E-4</v>
      </c>
      <c r="I72" s="393">
        <f t="shared" si="35"/>
        <v>4.7379075547049657E-4</v>
      </c>
      <c r="J72" s="393">
        <f t="shared" si="35"/>
        <v>4.6166550202337241E-4</v>
      </c>
      <c r="K72" s="393">
        <f t="shared" si="35"/>
        <v>6.3341476408891595E-4</v>
      </c>
      <c r="L72" s="393">
        <f t="shared" si="35"/>
        <v>3.8360795840568094E-5</v>
      </c>
      <c r="M72" s="393">
        <f t="shared" si="35"/>
        <v>1.0955335457545919E-4</v>
      </c>
      <c r="N72" s="393">
        <f t="shared" si="35"/>
        <v>8.7863809321896984E-5</v>
      </c>
      <c r="O72" s="394">
        <f t="shared" si="35"/>
        <v>2.8570292588964864E-3</v>
      </c>
    </row>
    <row r="73" spans="2:15" ht="21" customHeight="1">
      <c r="B73" s="376" t="s">
        <v>327</v>
      </c>
      <c r="C73" s="393">
        <f t="shared" ref="C73:O73" si="36">C24/$O$93</f>
        <v>0</v>
      </c>
      <c r="D73" s="393">
        <f t="shared" si="36"/>
        <v>0</v>
      </c>
      <c r="E73" s="393">
        <f t="shared" si="36"/>
        <v>0</v>
      </c>
      <c r="F73" s="393">
        <f t="shared" si="36"/>
        <v>-5.1542060604236527E-7</v>
      </c>
      <c r="G73" s="393">
        <f t="shared" si="36"/>
        <v>0</v>
      </c>
      <c r="H73" s="393">
        <f t="shared" si="36"/>
        <v>-1.0306066310310013E-5</v>
      </c>
      <c r="I73" s="393">
        <f t="shared" si="36"/>
        <v>0</v>
      </c>
      <c r="J73" s="393">
        <f t="shared" si="36"/>
        <v>0</v>
      </c>
      <c r="K73" s="393">
        <f t="shared" si="36"/>
        <v>0</v>
      </c>
      <c r="L73" s="393">
        <f t="shared" si="36"/>
        <v>0</v>
      </c>
      <c r="M73" s="393">
        <f t="shared" si="36"/>
        <v>0</v>
      </c>
      <c r="N73" s="393">
        <f t="shared" si="36"/>
        <v>-1.0120045747731534E-5</v>
      </c>
      <c r="O73" s="394">
        <f t="shared" si="36"/>
        <v>-2.0941532664083911E-5</v>
      </c>
    </row>
    <row r="74" spans="2:15" ht="24.95" customHeight="1">
      <c r="B74" s="390" t="s">
        <v>269</v>
      </c>
      <c r="C74" s="391">
        <f t="shared" ref="C74:O74" si="37">C25/$O$93</f>
        <v>1.5738174783466201E-3</v>
      </c>
      <c r="D74" s="391">
        <f t="shared" si="37"/>
        <v>1.4721063021749036E-4</v>
      </c>
      <c r="E74" s="391">
        <f t="shared" si="37"/>
        <v>3.9663386698678919E-3</v>
      </c>
      <c r="F74" s="391">
        <f t="shared" si="37"/>
        <v>1.4460198575406967E-2</v>
      </c>
      <c r="G74" s="391">
        <f t="shared" si="37"/>
        <v>-1.65575333901787E-3</v>
      </c>
      <c r="H74" s="391">
        <f t="shared" si="37"/>
        <v>-2.8135939434048847E-3</v>
      </c>
      <c r="I74" s="391">
        <f t="shared" si="37"/>
        <v>-2.2210495771344575E-3</v>
      </c>
      <c r="J74" s="391">
        <f t="shared" si="37"/>
        <v>1.3248922830358676E-5</v>
      </c>
      <c r="K74" s="391">
        <f t="shared" si="37"/>
        <v>-3.1677718487908208E-3</v>
      </c>
      <c r="L74" s="391">
        <f t="shared" si="37"/>
        <v>9.0012912967773508E-4</v>
      </c>
      <c r="M74" s="391">
        <f t="shared" si="37"/>
        <v>9.7565569730989122E-4</v>
      </c>
      <c r="N74" s="391">
        <f t="shared" si="37"/>
        <v>-3.2233116040166357E-3</v>
      </c>
      <c r="O74" s="392">
        <f t="shared" si="37"/>
        <v>8.9551187912922849E-3</v>
      </c>
    </row>
    <row r="75" spans="2:15" ht="24.95" customHeight="1">
      <c r="B75" s="396" t="s">
        <v>735</v>
      </c>
      <c r="C75" s="391">
        <f t="shared" ref="C75:O75" si="38">C26/$O$93</f>
        <v>0</v>
      </c>
      <c r="D75" s="391">
        <f t="shared" si="38"/>
        <v>0</v>
      </c>
      <c r="E75" s="391">
        <f t="shared" si="38"/>
        <v>0</v>
      </c>
      <c r="F75" s="391">
        <f t="shared" si="38"/>
        <v>0</v>
      </c>
      <c r="G75" s="391">
        <f t="shared" si="38"/>
        <v>0</v>
      </c>
      <c r="H75" s="391">
        <f t="shared" si="38"/>
        <v>0</v>
      </c>
      <c r="I75" s="391">
        <f t="shared" si="38"/>
        <v>0</v>
      </c>
      <c r="J75" s="391">
        <f t="shared" si="38"/>
        <v>0</v>
      </c>
      <c r="K75" s="391">
        <f t="shared" si="38"/>
        <v>0</v>
      </c>
      <c r="L75" s="391">
        <f t="shared" si="38"/>
        <v>0</v>
      </c>
      <c r="M75" s="391">
        <f t="shared" si="38"/>
        <v>0</v>
      </c>
      <c r="N75" s="391">
        <f t="shared" si="38"/>
        <v>0</v>
      </c>
      <c r="O75" s="392">
        <f t="shared" si="38"/>
        <v>0</v>
      </c>
    </row>
    <row r="76" spans="2:15" ht="21" customHeight="1">
      <c r="B76" s="399" t="s">
        <v>737</v>
      </c>
      <c r="C76" s="391">
        <f t="shared" ref="C76:O76" si="39">C27/$O$93</f>
        <v>4.1650807715680679E-3</v>
      </c>
      <c r="D76" s="391">
        <f t="shared" si="39"/>
        <v>-7.4944577393379721E-4</v>
      </c>
      <c r="E76" s="391">
        <f t="shared" si="39"/>
        <v>2.8111058673147655E-3</v>
      </c>
      <c r="F76" s="391">
        <f t="shared" si="39"/>
        <v>1.4354996415335936E-2</v>
      </c>
      <c r="G76" s="391">
        <f t="shared" si="39"/>
        <v>-2.8659688122276055E-3</v>
      </c>
      <c r="H76" s="391">
        <f t="shared" si="39"/>
        <v>-2.0332131717704267E-3</v>
      </c>
      <c r="I76" s="391">
        <f t="shared" si="39"/>
        <v>-8.814325907884052E-4</v>
      </c>
      <c r="J76" s="391">
        <f t="shared" si="39"/>
        <v>-9.2584146822068461E-4</v>
      </c>
      <c r="K76" s="391">
        <f t="shared" si="39"/>
        <v>-4.2284930353770336E-3</v>
      </c>
      <c r="L76" s="391">
        <f t="shared" si="39"/>
        <v>5.5309735777638556E-4</v>
      </c>
      <c r="M76" s="391">
        <f t="shared" si="39"/>
        <v>7.0275336634877724E-4</v>
      </c>
      <c r="N76" s="391">
        <f t="shared" si="39"/>
        <v>-3.3611085181250049E-3</v>
      </c>
      <c r="O76" s="392">
        <f t="shared" si="39"/>
        <v>7.541530407900972E-3</v>
      </c>
    </row>
    <row r="77" spans="2:15" ht="21" customHeight="1">
      <c r="B77" s="399" t="s">
        <v>736</v>
      </c>
      <c r="C77" s="391">
        <f t="shared" ref="C77:O77" si="40">C28/$O$93</f>
        <v>2.5624116012281425E-3</v>
      </c>
      <c r="D77" s="391">
        <f t="shared" si="40"/>
        <v>-2.3815380474977959E-3</v>
      </c>
      <c r="E77" s="391">
        <f t="shared" si="40"/>
        <v>1.2091582116425738E-3</v>
      </c>
      <c r="F77" s="391">
        <f t="shared" si="40"/>
        <v>1.2730112772318728E-2</v>
      </c>
      <c r="G77" s="391">
        <f t="shared" si="40"/>
        <v>-4.4915275834123769E-3</v>
      </c>
      <c r="H77" s="391">
        <f t="shared" si="40"/>
        <v>-3.6728545283216782E-3</v>
      </c>
      <c r="I77" s="391">
        <f t="shared" si="40"/>
        <v>-2.5404298430918362E-3</v>
      </c>
      <c r="J77" s="391">
        <f t="shared" si="40"/>
        <v>-2.5649161335996634E-3</v>
      </c>
      <c r="K77" s="391">
        <f t="shared" si="40"/>
        <v>-5.857810000854227E-3</v>
      </c>
      <c r="L77" s="391">
        <f t="shared" si="40"/>
        <v>-1.1382709247406426E-3</v>
      </c>
      <c r="M77" s="391">
        <f t="shared" si="40"/>
        <v>-1.0999232950936659E-3</v>
      </c>
      <c r="N77" s="391">
        <f t="shared" si="40"/>
        <v>-5.8819502246003717E-3</v>
      </c>
      <c r="O77" s="392">
        <f t="shared" si="40"/>
        <v>-1.3127537996022814E-2</v>
      </c>
    </row>
    <row r="78" spans="2:15" ht="24.95" customHeight="1">
      <c r="B78" s="397" t="s">
        <v>328</v>
      </c>
      <c r="C78" s="359"/>
      <c r="D78" s="359"/>
      <c r="E78" s="359"/>
      <c r="F78" s="359"/>
      <c r="G78" s="359"/>
      <c r="H78" s="359"/>
      <c r="I78" s="359"/>
      <c r="J78" s="359"/>
      <c r="K78" s="359"/>
      <c r="L78" s="359"/>
      <c r="M78" s="359"/>
      <c r="N78" s="359"/>
      <c r="O78" s="398"/>
    </row>
    <row r="79" spans="2:15" ht="21" customHeight="1">
      <c r="B79" s="399" t="s">
        <v>329</v>
      </c>
      <c r="C79" s="391">
        <f t="shared" ref="C79:O92" si="41">C30/$O$93</f>
        <v>-8.1691318774849183E-5</v>
      </c>
      <c r="D79" s="391">
        <f t="shared" si="41"/>
        <v>-2.191084241154636E-3</v>
      </c>
      <c r="E79" s="391">
        <f t="shared" si="41"/>
        <v>1.6146735826767708E-3</v>
      </c>
      <c r="F79" s="391">
        <f t="shared" si="41"/>
        <v>1.237238022711872E-2</v>
      </c>
      <c r="G79" s="391">
        <f t="shared" si="41"/>
        <v>-4.5629361713804932E-3</v>
      </c>
      <c r="H79" s="391">
        <f t="shared" si="41"/>
        <v>-4.928423023555035E-3</v>
      </c>
      <c r="I79" s="391">
        <f t="shared" si="41"/>
        <v>-5.2197518848145106E-3</v>
      </c>
      <c r="J79" s="391">
        <f t="shared" si="41"/>
        <v>-2.2767463929622136E-3</v>
      </c>
      <c r="K79" s="391">
        <f t="shared" si="41"/>
        <v>-6.0299519622262513E-3</v>
      </c>
      <c r="L79" s="391">
        <f t="shared" si="41"/>
        <v>-1.4185648450636388E-3</v>
      </c>
      <c r="M79" s="391">
        <f t="shared" si="41"/>
        <v>-9.8838745132995873E-4</v>
      </c>
      <c r="N79" s="391">
        <f t="shared" si="41"/>
        <v>-5.7635662096615419E-3</v>
      </c>
      <c r="O79" s="392">
        <f t="shared" si="41"/>
        <v>-1.9474049691127638E-2</v>
      </c>
    </row>
    <row r="80" spans="2:15" ht="21" customHeight="1">
      <c r="B80" s="399" t="s">
        <v>330</v>
      </c>
      <c r="C80" s="391">
        <f t="shared" si="41"/>
        <v>-1.6686703547529405E-4</v>
      </c>
      <c r="D80" s="391">
        <f t="shared" si="41"/>
        <v>-2.2955841749850744E-3</v>
      </c>
      <c r="E80" s="391">
        <f t="shared" si="41"/>
        <v>1.4783215499876796E-3</v>
      </c>
      <c r="F80" s="391">
        <f t="shared" si="41"/>
        <v>1.2228202869678718E-2</v>
      </c>
      <c r="G80" s="391">
        <f t="shared" si="41"/>
        <v>-4.673871723555525E-3</v>
      </c>
      <c r="H80" s="391">
        <f t="shared" si="41"/>
        <v>-5.0796919140795975E-3</v>
      </c>
      <c r="I80" s="391">
        <f t="shared" si="41"/>
        <v>-5.6793121404990063E-3</v>
      </c>
      <c r="J80" s="391">
        <f t="shared" si="41"/>
        <v>-2.4048046221762298E-3</v>
      </c>
      <c r="K80" s="391">
        <f t="shared" si="41"/>
        <v>-6.1265689493468665E-3</v>
      </c>
      <c r="L80" s="391">
        <f t="shared" si="41"/>
        <v>-1.5880582039854868E-3</v>
      </c>
      <c r="M80" s="391">
        <f t="shared" si="41"/>
        <v>-1.2733969416827023E-3</v>
      </c>
      <c r="N80" s="391">
        <f t="shared" si="41"/>
        <v>-5.9426917605397379E-3</v>
      </c>
      <c r="O80" s="392">
        <f t="shared" si="41"/>
        <v>-2.1524323046659122E-2</v>
      </c>
    </row>
    <row r="81" spans="2:16" ht="21" customHeight="1">
      <c r="B81" s="399" t="s">
        <v>355</v>
      </c>
      <c r="C81" s="391">
        <f t="shared" si="41"/>
        <v>-1.6843604891147745E-3</v>
      </c>
      <c r="D81" s="391">
        <f t="shared" si="41"/>
        <v>-3.8231765147186346E-3</v>
      </c>
      <c r="E81" s="391">
        <f t="shared" si="41"/>
        <v>1.2725927004578938E-5</v>
      </c>
      <c r="F81" s="391">
        <f t="shared" si="41"/>
        <v>1.0747496584101512E-2</v>
      </c>
      <c r="G81" s="391">
        <f t="shared" si="41"/>
        <v>-6.1884949425652655E-3</v>
      </c>
      <c r="H81" s="391">
        <f t="shared" si="41"/>
        <v>-6.5680643801062869E-3</v>
      </c>
      <c r="I81" s="391">
        <f t="shared" si="41"/>
        <v>-6.878749137117942E-3</v>
      </c>
      <c r="J81" s="391">
        <f t="shared" si="41"/>
        <v>-3.9158210583411929E-3</v>
      </c>
      <c r="K81" s="391">
        <f t="shared" si="41"/>
        <v>-7.6592689277034456E-3</v>
      </c>
      <c r="L81" s="391">
        <f t="shared" si="41"/>
        <v>-3.109933127580667E-3</v>
      </c>
      <c r="M81" s="391">
        <f t="shared" si="41"/>
        <v>-2.7910641127724019E-3</v>
      </c>
      <c r="N81" s="391">
        <f t="shared" si="41"/>
        <v>-8.2844079161369082E-3</v>
      </c>
      <c r="O81" s="392">
        <f t="shared" si="41"/>
        <v>-4.0143118095051424E-2</v>
      </c>
    </row>
    <row r="82" spans="2:16" ht="24.95" customHeight="1">
      <c r="B82" s="390" t="s">
        <v>332</v>
      </c>
      <c r="C82" s="391">
        <f t="shared" si="41"/>
        <v>-2.6018833760374131E-4</v>
      </c>
      <c r="D82" s="391">
        <f t="shared" si="41"/>
        <v>-7.8450080399336617E-4</v>
      </c>
      <c r="E82" s="391">
        <f t="shared" si="41"/>
        <v>-2.7425468951869727E-4</v>
      </c>
      <c r="F82" s="391">
        <f t="shared" si="41"/>
        <v>7.692317381969221E-5</v>
      </c>
      <c r="G82" s="391">
        <f t="shared" si="41"/>
        <v>1.0781978288416953E-4</v>
      </c>
      <c r="H82" s="391">
        <f t="shared" si="41"/>
        <v>-8.2894029026971052E-4</v>
      </c>
      <c r="I82" s="391">
        <f t="shared" si="41"/>
        <v>-4.5209324065758819E-4</v>
      </c>
      <c r="J82" s="391">
        <f t="shared" si="41"/>
        <v>-7.4280391236937048E-4</v>
      </c>
      <c r="K82" s="391">
        <f t="shared" si="41"/>
        <v>3.3226575240987773E-2</v>
      </c>
      <c r="L82" s="391">
        <f t="shared" si="41"/>
        <v>1.2880583814703987E-4</v>
      </c>
      <c r="M82" s="391">
        <f t="shared" si="41"/>
        <v>-1.008763729962684E-3</v>
      </c>
      <c r="N82" s="391">
        <f t="shared" si="41"/>
        <v>5.6787631474935008E-3</v>
      </c>
      <c r="O82" s="392">
        <f t="shared" si="41"/>
        <v>3.4867342178957018E-2</v>
      </c>
    </row>
    <row r="83" spans="2:16" ht="15.75">
      <c r="B83" s="376" t="s">
        <v>276</v>
      </c>
      <c r="C83" s="393">
        <f t="shared" si="41"/>
        <v>4.0198129548050821E-4</v>
      </c>
      <c r="D83" s="393">
        <f t="shared" si="41"/>
        <v>3.6907309766937084E-4</v>
      </c>
      <c r="E83" s="393">
        <f t="shared" si="41"/>
        <v>4.0947941329950641E-4</v>
      </c>
      <c r="F83" s="393">
        <f t="shared" si="41"/>
        <v>4.9679274675381874E-4</v>
      </c>
      <c r="G83" s="393">
        <f t="shared" si="41"/>
        <v>1.1603604523784969E-3</v>
      </c>
      <c r="H83" s="393">
        <f t="shared" si="41"/>
        <v>6.979860650001969E-4</v>
      </c>
      <c r="I83" s="393">
        <f t="shared" si="41"/>
        <v>3.0379543735424433E-4</v>
      </c>
      <c r="J83" s="393">
        <f t="shared" si="41"/>
        <v>3.7036165228271703E-4</v>
      </c>
      <c r="K83" s="393">
        <f t="shared" si="41"/>
        <v>3.4076628957836044E-2</v>
      </c>
      <c r="L83" s="393">
        <f t="shared" si="41"/>
        <v>7.004365823399416E-4</v>
      </c>
      <c r="M83" s="393">
        <f t="shared" si="41"/>
        <v>1.892980524903877E-4</v>
      </c>
      <c r="N83" s="393">
        <f t="shared" si="41"/>
        <v>7.6873501038131811E-3</v>
      </c>
      <c r="O83" s="394">
        <f t="shared" si="41"/>
        <v>4.6863543856698414E-2</v>
      </c>
      <c r="P83" s="55"/>
    </row>
    <row r="84" spans="2:16" ht="15.75">
      <c r="B84" s="376" t="s">
        <v>277</v>
      </c>
      <c r="C84" s="393">
        <f t="shared" si="41"/>
        <v>-6.6216963308424952E-4</v>
      </c>
      <c r="D84" s="393">
        <f t="shared" si="41"/>
        <v>-1.1535739016627371E-3</v>
      </c>
      <c r="E84" s="393">
        <f t="shared" si="41"/>
        <v>-6.8373410281820368E-4</v>
      </c>
      <c r="F84" s="393">
        <f t="shared" si="41"/>
        <v>-4.1986957293412648E-4</v>
      </c>
      <c r="G84" s="393">
        <f t="shared" si="41"/>
        <v>-1.0525406694943274E-3</v>
      </c>
      <c r="H84" s="393">
        <f t="shared" si="41"/>
        <v>-1.5269263552699075E-3</v>
      </c>
      <c r="I84" s="393">
        <f t="shared" si="41"/>
        <v>-7.5588867801183257E-4</v>
      </c>
      <c r="J84" s="393">
        <f t="shared" si="41"/>
        <v>-1.1131655646520876E-3</v>
      </c>
      <c r="K84" s="393">
        <f t="shared" si="41"/>
        <v>-8.500537168482751E-4</v>
      </c>
      <c r="L84" s="393">
        <f t="shared" si="41"/>
        <v>-5.7163074419290169E-4</v>
      </c>
      <c r="M84" s="393">
        <f t="shared" si="41"/>
        <v>-1.1980617824530718E-3</v>
      </c>
      <c r="N84" s="393">
        <f t="shared" si="41"/>
        <v>-2.0085869563196798E-3</v>
      </c>
      <c r="O84" s="394">
        <f t="shared" si="41"/>
        <v>-1.1996201677741399E-2</v>
      </c>
      <c r="P84" s="55"/>
    </row>
    <row r="85" spans="2:16" ht="24.95" customHeight="1">
      <c r="B85" s="390" t="s">
        <v>333</v>
      </c>
      <c r="C85" s="391">
        <f t="shared" si="41"/>
        <v>3.4187965637859033E-4</v>
      </c>
      <c r="D85" s="391">
        <f t="shared" si="41"/>
        <v>2.9755850451480019E-3</v>
      </c>
      <c r="E85" s="391">
        <f t="shared" si="41"/>
        <v>-1.3404188931580734E-3</v>
      </c>
      <c r="F85" s="391">
        <f t="shared" si="41"/>
        <v>-1.2449303400938415E-2</v>
      </c>
      <c r="G85" s="391">
        <f t="shared" si="41"/>
        <v>4.4551163884963239E-3</v>
      </c>
      <c r="H85" s="391">
        <f t="shared" si="41"/>
        <v>5.7573633138247454E-3</v>
      </c>
      <c r="I85" s="391">
        <f t="shared" si="41"/>
        <v>5.6718451254720989E-3</v>
      </c>
      <c r="J85" s="391">
        <f t="shared" si="41"/>
        <v>3.019550305331584E-3</v>
      </c>
      <c r="K85" s="391">
        <f t="shared" si="41"/>
        <v>-2.7196623278761517E-2</v>
      </c>
      <c r="L85" s="391">
        <f t="shared" si="41"/>
        <v>1.2897590069165987E-3</v>
      </c>
      <c r="M85" s="391">
        <f t="shared" si="41"/>
        <v>1.9971511812926423E-3</v>
      </c>
      <c r="N85" s="391">
        <f t="shared" si="41"/>
        <v>8.480306216804035E-5</v>
      </c>
      <c r="O85" s="392">
        <f t="shared" si="41"/>
        <v>-1.5393292487829377E-2</v>
      </c>
    </row>
    <row r="86" spans="2:16" ht="15.75">
      <c r="B86" s="376" t="s">
        <v>279</v>
      </c>
      <c r="C86" s="393">
        <f t="shared" si="41"/>
        <v>-7.83544980031841E-4</v>
      </c>
      <c r="D86" s="393">
        <f t="shared" si="41"/>
        <v>1.0503034726405461E-3</v>
      </c>
      <c r="E86" s="393">
        <f t="shared" si="41"/>
        <v>-1.246289303944901E-3</v>
      </c>
      <c r="F86" s="393">
        <f t="shared" si="41"/>
        <v>1.0291911778049143E-3</v>
      </c>
      <c r="G86" s="393">
        <f t="shared" si="41"/>
        <v>-4.4898434304248081E-3</v>
      </c>
      <c r="H86" s="393">
        <f t="shared" si="41"/>
        <v>1.6194059611029201E-3</v>
      </c>
      <c r="I86" s="393">
        <f t="shared" si="41"/>
        <v>1.5662047485401752E-3</v>
      </c>
      <c r="J86" s="393">
        <f t="shared" si="41"/>
        <v>7.4809225851540288E-4</v>
      </c>
      <c r="K86" s="393">
        <f t="shared" si="41"/>
        <v>-2.572070602700692E-3</v>
      </c>
      <c r="L86" s="393">
        <f t="shared" si="41"/>
        <v>9.0598301190565232E-4</v>
      </c>
      <c r="M86" s="393">
        <f t="shared" si="41"/>
        <v>1.4725051087770048E-3</v>
      </c>
      <c r="N86" s="393">
        <f t="shared" si="41"/>
        <v>4.7451763717569722E-4</v>
      </c>
      <c r="O86" s="394">
        <f t="shared" si="41"/>
        <v>-2.2554494063992857E-4</v>
      </c>
    </row>
    <row r="87" spans="2:16" ht="15.75">
      <c r="B87" s="376" t="s">
        <v>282</v>
      </c>
      <c r="C87" s="393">
        <f t="shared" si="41"/>
        <v>-1.7552964197177325E-3</v>
      </c>
      <c r="D87" s="393">
        <f t="shared" si="41"/>
        <v>1.5944055384144182E-3</v>
      </c>
      <c r="E87" s="393">
        <f t="shared" si="41"/>
        <v>2.0250540076402605E-3</v>
      </c>
      <c r="F87" s="393">
        <f t="shared" si="41"/>
        <v>-1.3377162790841775E-2</v>
      </c>
      <c r="G87" s="393">
        <f t="shared" si="41"/>
        <v>7.7930248408057731E-3</v>
      </c>
      <c r="H87" s="393">
        <f t="shared" si="41"/>
        <v>4.3895223796964348E-3</v>
      </c>
      <c r="I87" s="393">
        <f t="shared" si="41"/>
        <v>4.0851609332253963E-3</v>
      </c>
      <c r="J87" s="393">
        <f t="shared" si="41"/>
        <v>9.2952429750720012E-4</v>
      </c>
      <c r="K87" s="393">
        <f t="shared" si="41"/>
        <v>-2.4245228852407354E-2</v>
      </c>
      <c r="L87" s="393">
        <f t="shared" si="41"/>
        <v>1.5090690332206606E-3</v>
      </c>
      <c r="M87" s="393">
        <f t="shared" si="41"/>
        <v>7.6700962711792392E-4</v>
      </c>
      <c r="N87" s="393">
        <f t="shared" si="41"/>
        <v>4.4468760588789596E-3</v>
      </c>
      <c r="O87" s="394">
        <f t="shared" si="41"/>
        <v>-1.1838041346459837E-2</v>
      </c>
    </row>
    <row r="88" spans="2:16" ht="15.75">
      <c r="B88" s="376" t="s">
        <v>283</v>
      </c>
      <c r="C88" s="393">
        <f t="shared" si="41"/>
        <v>0</v>
      </c>
      <c r="D88" s="393">
        <f t="shared" si="41"/>
        <v>0</v>
      </c>
      <c r="E88" s="393">
        <f t="shared" si="41"/>
        <v>0</v>
      </c>
      <c r="F88" s="393">
        <f t="shared" si="41"/>
        <v>0</v>
      </c>
      <c r="G88" s="393">
        <f t="shared" si="41"/>
        <v>0</v>
      </c>
      <c r="H88" s="393">
        <f t="shared" si="41"/>
        <v>0</v>
      </c>
      <c r="I88" s="393">
        <f t="shared" si="41"/>
        <v>0</v>
      </c>
      <c r="J88" s="393">
        <f t="shared" si="41"/>
        <v>0</v>
      </c>
      <c r="K88" s="393">
        <f t="shared" si="41"/>
        <v>0</v>
      </c>
      <c r="L88" s="393">
        <f t="shared" si="41"/>
        <v>0</v>
      </c>
      <c r="M88" s="393">
        <f t="shared" si="41"/>
        <v>0</v>
      </c>
      <c r="N88" s="393">
        <f t="shared" si="41"/>
        <v>0</v>
      </c>
      <c r="O88" s="394">
        <f t="shared" si="41"/>
        <v>0</v>
      </c>
    </row>
    <row r="89" spans="2:16" ht="15.75">
      <c r="B89" s="376" t="s">
        <v>284</v>
      </c>
      <c r="C89" s="393">
        <f t="shared" si="41"/>
        <v>4.6315059293680861E-3</v>
      </c>
      <c r="D89" s="393">
        <f t="shared" si="41"/>
        <v>2.146143316188261E-3</v>
      </c>
      <c r="E89" s="393">
        <f t="shared" si="41"/>
        <v>1.3219586663757272E-3</v>
      </c>
      <c r="F89" s="393">
        <f t="shared" si="41"/>
        <v>1.897906286285373E-3</v>
      </c>
      <c r="G89" s="393">
        <f t="shared" si="41"/>
        <v>5.1986566074179862E-4</v>
      </c>
      <c r="H89" s="393">
        <f t="shared" si="41"/>
        <v>1.633832983158408E-3</v>
      </c>
      <c r="I89" s="393">
        <f t="shared" si="41"/>
        <v>1.7271595965559958E-3</v>
      </c>
      <c r="J89" s="393">
        <f t="shared" si="41"/>
        <v>2.1949972478773733E-3</v>
      </c>
      <c r="K89" s="393">
        <f t="shared" si="41"/>
        <v>4.2940690695143373E-4</v>
      </c>
      <c r="L89" s="393">
        <f t="shared" si="41"/>
        <v>1.0876713515011196E-3</v>
      </c>
      <c r="M89" s="393">
        <f t="shared" si="41"/>
        <v>1.8467724023799792E-3</v>
      </c>
      <c r="N89" s="393">
        <f t="shared" si="41"/>
        <v>-1.9863350304313585E-3</v>
      </c>
      <c r="O89" s="394">
        <f t="shared" si="41"/>
        <v>1.74508853169522E-2</v>
      </c>
    </row>
    <row r="90" spans="2:16" ht="15.75">
      <c r="B90" s="376" t="s">
        <v>334</v>
      </c>
      <c r="C90" s="393">
        <f t="shared" si="41"/>
        <v>0</v>
      </c>
      <c r="D90" s="393">
        <f t="shared" si="41"/>
        <v>0</v>
      </c>
      <c r="E90" s="393">
        <f t="shared" si="41"/>
        <v>0</v>
      </c>
      <c r="F90" s="393">
        <f t="shared" si="41"/>
        <v>0</v>
      </c>
      <c r="G90" s="393">
        <f t="shared" si="41"/>
        <v>0</v>
      </c>
      <c r="H90" s="393">
        <f t="shared" si="41"/>
        <v>0</v>
      </c>
      <c r="I90" s="393">
        <f t="shared" si="41"/>
        <v>0</v>
      </c>
      <c r="J90" s="393">
        <f t="shared" si="41"/>
        <v>0</v>
      </c>
      <c r="K90" s="393">
        <f t="shared" si="41"/>
        <v>0</v>
      </c>
      <c r="L90" s="393">
        <f t="shared" si="41"/>
        <v>0</v>
      </c>
      <c r="M90" s="393">
        <f t="shared" si="41"/>
        <v>0</v>
      </c>
      <c r="N90" s="393">
        <f t="shared" si="41"/>
        <v>0</v>
      </c>
      <c r="O90" s="394">
        <f t="shared" si="41"/>
        <v>0</v>
      </c>
    </row>
    <row r="91" spans="2:16" ht="15.75">
      <c r="B91" s="376" t="s">
        <v>335</v>
      </c>
      <c r="C91" s="393">
        <f t="shared" si="41"/>
        <v>-1.6026691703399255E-3</v>
      </c>
      <c r="D91" s="393">
        <f t="shared" si="41"/>
        <v>-1.6320922735639988E-3</v>
      </c>
      <c r="E91" s="393">
        <f t="shared" si="41"/>
        <v>-1.6019476556721917E-3</v>
      </c>
      <c r="F91" s="393">
        <f t="shared" si="41"/>
        <v>-1.624883643017208E-3</v>
      </c>
      <c r="G91" s="393">
        <f t="shared" si="41"/>
        <v>-1.6255587711847717E-3</v>
      </c>
      <c r="H91" s="393">
        <f t="shared" si="41"/>
        <v>-1.6396413565512513E-3</v>
      </c>
      <c r="I91" s="393">
        <f t="shared" si="41"/>
        <v>-1.6589972523034307E-3</v>
      </c>
      <c r="J91" s="393">
        <f t="shared" si="41"/>
        <v>-1.639074665378979E-3</v>
      </c>
      <c r="K91" s="393">
        <f t="shared" si="41"/>
        <v>-1.6293169654771932E-3</v>
      </c>
      <c r="L91" s="393">
        <f t="shared" si="41"/>
        <v>-1.6913682825170282E-3</v>
      </c>
      <c r="M91" s="393">
        <f t="shared" si="41"/>
        <v>-1.8026766614424432E-3</v>
      </c>
      <c r="N91" s="393">
        <f t="shared" si="41"/>
        <v>-2.5208417064753663E-3</v>
      </c>
      <c r="O91" s="394">
        <f t="shared" si="41"/>
        <v>-2.0669068403923789E-2</v>
      </c>
    </row>
    <row r="92" spans="2:16" ht="15.75">
      <c r="B92" s="400" t="s">
        <v>336</v>
      </c>
      <c r="C92" s="401">
        <f t="shared" si="41"/>
        <v>-1.4811570289999712E-4</v>
      </c>
      <c r="D92" s="401">
        <f t="shared" si="41"/>
        <v>-1.8317500853122504E-4</v>
      </c>
      <c r="E92" s="401">
        <f t="shared" si="41"/>
        <v>-1.8391946075569684E-3</v>
      </c>
      <c r="F92" s="401">
        <f t="shared" si="41"/>
        <v>-3.7435443116971796E-4</v>
      </c>
      <c r="G92" s="401">
        <f t="shared" si="41"/>
        <v>2.2576280885583323E-3</v>
      </c>
      <c r="H92" s="401">
        <f t="shared" si="41"/>
        <v>-2.457566535817649E-4</v>
      </c>
      <c r="I92" s="401">
        <f t="shared" si="41"/>
        <v>-4.7682900546037367E-5</v>
      </c>
      <c r="J92" s="401">
        <f t="shared" si="41"/>
        <v>7.8601116681058692E-4</v>
      </c>
      <c r="K92" s="401">
        <f t="shared" si="41"/>
        <v>8.2058623487228503E-4</v>
      </c>
      <c r="L92" s="401">
        <f t="shared" si="41"/>
        <v>-5.2159610719380552E-4</v>
      </c>
      <c r="M92" s="401">
        <f t="shared" si="41"/>
        <v>-2.8645929553982225E-4</v>
      </c>
      <c r="N92" s="401">
        <f t="shared" si="41"/>
        <v>-3.2941389697989143E-4</v>
      </c>
      <c r="O92" s="402">
        <f t="shared" si="41"/>
        <v>-1.1152311375802585E-4</v>
      </c>
    </row>
    <row r="93" spans="2:16" ht="24.95" customHeight="1" thickBot="1">
      <c r="B93" s="403" t="s">
        <v>359</v>
      </c>
      <c r="C93" s="404"/>
      <c r="D93" s="405"/>
      <c r="E93" s="405"/>
      <c r="F93" s="405"/>
      <c r="G93" s="405"/>
      <c r="H93" s="405"/>
      <c r="I93" s="405"/>
      <c r="J93" s="405"/>
      <c r="K93" s="405"/>
      <c r="L93" s="405"/>
      <c r="M93" s="405"/>
      <c r="N93" s="405"/>
      <c r="O93" s="496">
        <v>22593.47</v>
      </c>
    </row>
    <row r="94" spans="2:16">
      <c r="B94" s="48" t="s">
        <v>338</v>
      </c>
    </row>
    <row r="95" spans="2:16">
      <c r="B95" s="48" t="s">
        <v>356</v>
      </c>
    </row>
    <row r="97" spans="2:15" ht="16.5" thickBot="1">
      <c r="B97" s="353" t="s">
        <v>340</v>
      </c>
      <c r="C97" s="2"/>
      <c r="D97" s="2"/>
      <c r="E97" s="2"/>
      <c r="F97" s="2"/>
      <c r="G97" s="2"/>
      <c r="H97" s="2"/>
      <c r="I97" s="2"/>
      <c r="J97" s="2"/>
      <c r="K97" s="2"/>
      <c r="L97" s="2"/>
      <c r="M97" s="2"/>
      <c r="N97" s="2"/>
      <c r="O97" s="2"/>
    </row>
    <row r="98" spans="2:15" ht="24.95" customHeight="1" thickBot="1">
      <c r="B98" s="407" t="s">
        <v>357</v>
      </c>
      <c r="C98" s="408">
        <f t="shared" ref="C98:O98" si="42">C49/$O$93</f>
        <v>1.6026691703399255E-3</v>
      </c>
      <c r="D98" s="409">
        <f t="shared" si="42"/>
        <v>1.6320922735639988E-3</v>
      </c>
      <c r="E98" s="409">
        <f t="shared" si="42"/>
        <v>1.6019476556721917E-3</v>
      </c>
      <c r="F98" s="409">
        <f t="shared" si="42"/>
        <v>1.624883643017208E-3</v>
      </c>
      <c r="G98" s="409">
        <f t="shared" si="42"/>
        <v>1.6255587711847717E-3</v>
      </c>
      <c r="H98" s="409">
        <f t="shared" si="42"/>
        <v>1.6396413565512513E-3</v>
      </c>
      <c r="I98" s="409">
        <f t="shared" si="42"/>
        <v>1.6589972523034307E-3</v>
      </c>
      <c r="J98" s="409">
        <f t="shared" si="42"/>
        <v>1.639074665378979E-3</v>
      </c>
      <c r="K98" s="409">
        <f t="shared" si="42"/>
        <v>1.6293169654771932E-3</v>
      </c>
      <c r="L98" s="409">
        <f t="shared" si="42"/>
        <v>1.6913682825170282E-3</v>
      </c>
      <c r="M98" s="409">
        <f t="shared" si="42"/>
        <v>1.8026766614424432E-3</v>
      </c>
      <c r="N98" s="410">
        <f t="shared" si="42"/>
        <v>2.5208417064753663E-3</v>
      </c>
      <c r="O98" s="411">
        <f t="shared" si="42"/>
        <v>2.0669068403923789E-2</v>
      </c>
    </row>
  </sheetData>
  <printOptions horizontalCentered="1"/>
  <pageMargins left="0.7" right="0.7" top="0.75" bottom="0.75" header="0.3" footer="0.3"/>
  <pageSetup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8"/>
  <sheetViews>
    <sheetView workbookViewId="0"/>
  </sheetViews>
  <sheetFormatPr baseColWidth="10" defaultRowHeight="15"/>
  <cols>
    <col min="1" max="1" width="2.7109375" customWidth="1"/>
    <col min="2" max="2" width="52.42578125" customWidth="1"/>
    <col min="3" max="14" width="8.7109375" customWidth="1"/>
    <col min="15" max="15" width="9.28515625" customWidth="1"/>
  </cols>
  <sheetData>
    <row r="1" spans="1:16" ht="15.75">
      <c r="A1" s="2"/>
      <c r="B1" s="353" t="s">
        <v>18</v>
      </c>
      <c r="C1" s="2"/>
      <c r="D1" s="2"/>
      <c r="E1" s="2"/>
      <c r="F1" s="2"/>
      <c r="G1" s="2"/>
      <c r="H1" s="2"/>
      <c r="I1" s="2"/>
      <c r="J1" s="2"/>
      <c r="K1" s="2"/>
      <c r="L1" s="2"/>
      <c r="M1" s="2"/>
      <c r="N1" s="2"/>
      <c r="O1" s="2"/>
      <c r="P1" s="2"/>
    </row>
    <row r="2" spans="1:16" ht="15.75">
      <c r="A2" s="2"/>
      <c r="B2" s="353" t="s">
        <v>516</v>
      </c>
      <c r="C2" s="2"/>
      <c r="D2" s="2"/>
      <c r="E2" s="2"/>
      <c r="F2" s="2"/>
      <c r="G2" s="2"/>
      <c r="H2" s="2"/>
      <c r="I2" s="2"/>
      <c r="J2" s="2"/>
      <c r="K2" s="2"/>
      <c r="L2" s="2"/>
      <c r="M2" s="2"/>
      <c r="N2" s="2"/>
      <c r="O2" s="2"/>
      <c r="P2" s="2"/>
    </row>
    <row r="3" spans="1:16" ht="15.75">
      <c r="A3" s="2"/>
      <c r="B3" s="353" t="s">
        <v>19</v>
      </c>
      <c r="C3" s="2"/>
      <c r="D3" s="2"/>
      <c r="E3" s="2"/>
      <c r="F3" s="2"/>
      <c r="G3" s="2"/>
      <c r="H3" s="2"/>
      <c r="I3" s="2"/>
      <c r="J3" s="2"/>
      <c r="K3" s="2"/>
      <c r="L3" s="2"/>
      <c r="M3" s="2"/>
      <c r="N3" s="2"/>
      <c r="O3" s="2"/>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517</v>
      </c>
      <c r="P5" s="2"/>
    </row>
    <row r="6" spans="1:16" ht="15.75">
      <c r="A6" s="2"/>
      <c r="B6" s="358"/>
      <c r="C6" s="359"/>
      <c r="D6" s="359"/>
      <c r="E6" s="359"/>
      <c r="F6" s="359"/>
      <c r="G6" s="359"/>
      <c r="H6" s="359"/>
      <c r="I6" s="359"/>
      <c r="J6" s="359"/>
      <c r="K6" s="359"/>
      <c r="L6" s="359"/>
      <c r="M6" s="359"/>
      <c r="N6" s="359"/>
      <c r="O6" s="360"/>
      <c r="P6" s="2"/>
    </row>
    <row r="7" spans="1:16" ht="24.95" customHeight="1">
      <c r="A7" s="2"/>
      <c r="B7" s="390" t="s">
        <v>239</v>
      </c>
      <c r="C7" s="494">
        <f t="shared" ref="C7:N7" si="0">+C8+C12+C13</f>
        <v>444.89220538833331</v>
      </c>
      <c r="D7" s="494">
        <f t="shared" si="0"/>
        <v>357.05625189833336</v>
      </c>
      <c r="E7" s="494">
        <f t="shared" si="0"/>
        <v>409.87769024533333</v>
      </c>
      <c r="F7" s="494">
        <f t="shared" si="0"/>
        <v>677.01856356833321</v>
      </c>
      <c r="G7" s="494">
        <f t="shared" si="0"/>
        <v>441.75169587833335</v>
      </c>
      <c r="H7" s="494">
        <f t="shared" si="0"/>
        <v>385.85285037833324</v>
      </c>
      <c r="I7" s="494">
        <f t="shared" si="0"/>
        <v>399.91067386833333</v>
      </c>
      <c r="J7" s="494">
        <f t="shared" si="0"/>
        <v>359.01813076533335</v>
      </c>
      <c r="K7" s="494">
        <f t="shared" si="0"/>
        <v>371.2091978366588</v>
      </c>
      <c r="L7" s="494">
        <f t="shared" si="0"/>
        <v>389.91808912671758</v>
      </c>
      <c r="M7" s="494">
        <f t="shared" si="0"/>
        <v>402.80979251833321</v>
      </c>
      <c r="N7" s="494">
        <f t="shared" si="0"/>
        <v>482.90940586833329</v>
      </c>
      <c r="O7" s="495">
        <f>SUM(C7:N7)</f>
        <v>5122.2245473407093</v>
      </c>
      <c r="P7" s="2"/>
    </row>
    <row r="8" spans="1:16" ht="21" customHeight="1">
      <c r="A8" s="2"/>
      <c r="B8" s="376" t="s">
        <v>240</v>
      </c>
      <c r="C8" s="497">
        <f>+C9+C10+C11</f>
        <v>442.4176814883333</v>
      </c>
      <c r="D8" s="497">
        <f t="shared" ref="D8:N8" si="1">+D9+D10+D11</f>
        <v>352.95251066833333</v>
      </c>
      <c r="E8" s="497">
        <f t="shared" si="1"/>
        <v>403.2975609953333</v>
      </c>
      <c r="F8" s="497">
        <f t="shared" si="1"/>
        <v>673.92297003833323</v>
      </c>
      <c r="G8" s="497">
        <f t="shared" si="1"/>
        <v>437.55399930833335</v>
      </c>
      <c r="H8" s="497">
        <f t="shared" si="1"/>
        <v>381.98015838833322</v>
      </c>
      <c r="I8" s="497">
        <f t="shared" si="1"/>
        <v>394.35497379833333</v>
      </c>
      <c r="J8" s="497">
        <f t="shared" si="1"/>
        <v>357.44849490533335</v>
      </c>
      <c r="K8" s="497">
        <f t="shared" si="1"/>
        <v>366.45959134665878</v>
      </c>
      <c r="L8" s="497">
        <f t="shared" si="1"/>
        <v>386.62853864671757</v>
      </c>
      <c r="M8" s="497">
        <f t="shared" si="1"/>
        <v>397.44603319833323</v>
      </c>
      <c r="N8" s="497">
        <f t="shared" si="1"/>
        <v>474.97977041833332</v>
      </c>
      <c r="O8" s="498">
        <f t="shared" ref="O8:O13" si="2">SUM(C8:N8)</f>
        <v>5069.4422832007094</v>
      </c>
      <c r="P8" s="2"/>
    </row>
    <row r="9" spans="1:16" ht="18.75">
      <c r="A9" s="2"/>
      <c r="B9" s="371" t="s">
        <v>351</v>
      </c>
      <c r="C9" s="497">
        <v>372.36212892999998</v>
      </c>
      <c r="D9" s="497">
        <v>295.01569513999999</v>
      </c>
      <c r="E9" s="497">
        <v>336.37517924999997</v>
      </c>
      <c r="F9" s="497">
        <v>612.01541556999996</v>
      </c>
      <c r="G9" s="497">
        <v>307.48970990000004</v>
      </c>
      <c r="H9" s="497">
        <v>317.35491260999993</v>
      </c>
      <c r="I9" s="497">
        <v>332.96493251999999</v>
      </c>
      <c r="J9" s="497">
        <v>300.48181273</v>
      </c>
      <c r="K9" s="497">
        <v>300.08749508</v>
      </c>
      <c r="L9" s="497">
        <v>320.70564436999996</v>
      </c>
      <c r="M9" s="497">
        <v>314.02766611999988</v>
      </c>
      <c r="N9" s="497">
        <v>309.17279704999999</v>
      </c>
      <c r="O9" s="498">
        <f t="shared" si="2"/>
        <v>4118.0533892699996</v>
      </c>
      <c r="P9" s="2"/>
    </row>
    <row r="10" spans="1:16" ht="15.75">
      <c r="A10" s="2"/>
      <c r="B10" s="371" t="s">
        <v>317</v>
      </c>
      <c r="C10" s="497">
        <v>53.271108878333337</v>
      </c>
      <c r="D10" s="497">
        <v>49.884365458333335</v>
      </c>
      <c r="E10" s="497">
        <v>59.850402858333347</v>
      </c>
      <c r="F10" s="497">
        <v>53.06059560833333</v>
      </c>
      <c r="G10" s="497">
        <v>120.66807526833335</v>
      </c>
      <c r="H10" s="497">
        <v>55.026100548333332</v>
      </c>
      <c r="I10" s="497">
        <v>53.322685108333339</v>
      </c>
      <c r="J10" s="497">
        <v>52.23803177833333</v>
      </c>
      <c r="K10" s="497">
        <v>58.529129386658781</v>
      </c>
      <c r="L10" s="497">
        <v>59.864685906717646</v>
      </c>
      <c r="M10" s="497">
        <v>66.875114768333347</v>
      </c>
      <c r="N10" s="497">
        <v>153.76557407833334</v>
      </c>
      <c r="O10" s="498">
        <f t="shared" si="2"/>
        <v>836.35586964670983</v>
      </c>
      <c r="P10" s="2"/>
    </row>
    <row r="11" spans="1:16" ht="15.75">
      <c r="A11" s="2"/>
      <c r="B11" s="371" t="s">
        <v>318</v>
      </c>
      <c r="C11" s="497">
        <v>16.784443680000003</v>
      </c>
      <c r="D11" s="497">
        <v>8.052450069999999</v>
      </c>
      <c r="E11" s="497">
        <v>7.0719788869999967</v>
      </c>
      <c r="F11" s="497">
        <v>8.8469588599999938</v>
      </c>
      <c r="G11" s="497">
        <v>9.396214140000005</v>
      </c>
      <c r="H11" s="497">
        <v>9.5991452299999906</v>
      </c>
      <c r="I11" s="497">
        <v>8.0673561699999965</v>
      </c>
      <c r="J11" s="497">
        <v>4.7286503970000027</v>
      </c>
      <c r="K11" s="497">
        <v>7.842966879999981</v>
      </c>
      <c r="L11" s="497">
        <v>6.0582083700000098</v>
      </c>
      <c r="M11" s="497">
        <v>16.543252309999996</v>
      </c>
      <c r="N11" s="497">
        <v>12.041399290000001</v>
      </c>
      <c r="O11" s="498">
        <f t="shared" si="2"/>
        <v>115.03302428399996</v>
      </c>
      <c r="P11" s="2"/>
    </row>
    <row r="12" spans="1:16" ht="21" customHeight="1">
      <c r="A12" s="2"/>
      <c r="B12" s="376" t="s">
        <v>244</v>
      </c>
      <c r="C12" s="497">
        <v>0</v>
      </c>
      <c r="D12" s="497">
        <v>0</v>
      </c>
      <c r="E12" s="497">
        <v>0</v>
      </c>
      <c r="F12" s="497">
        <v>0</v>
      </c>
      <c r="G12" s="497">
        <v>0</v>
      </c>
      <c r="H12" s="497">
        <v>0</v>
      </c>
      <c r="I12" s="497">
        <v>0</v>
      </c>
      <c r="J12" s="497">
        <v>0</v>
      </c>
      <c r="K12" s="497">
        <v>0</v>
      </c>
      <c r="L12" s="497">
        <v>0</v>
      </c>
      <c r="M12" s="497">
        <v>0</v>
      </c>
      <c r="N12" s="497">
        <v>0</v>
      </c>
      <c r="O12" s="498">
        <f t="shared" si="2"/>
        <v>0</v>
      </c>
      <c r="P12" s="2"/>
    </row>
    <row r="13" spans="1:16" ht="21" customHeight="1">
      <c r="A13" s="2"/>
      <c r="B13" s="376" t="s">
        <v>245</v>
      </c>
      <c r="C13" s="497">
        <v>2.4745239000000003</v>
      </c>
      <c r="D13" s="497">
        <v>4.1037412300000007</v>
      </c>
      <c r="E13" s="497">
        <v>6.5801292500000006</v>
      </c>
      <c r="F13" s="497">
        <v>3.0955935299999999</v>
      </c>
      <c r="G13" s="497">
        <v>4.1976965700000006</v>
      </c>
      <c r="H13" s="497">
        <v>3.8726919900000003</v>
      </c>
      <c r="I13" s="497">
        <v>5.5557000699999994</v>
      </c>
      <c r="J13" s="497">
        <v>1.56963586</v>
      </c>
      <c r="K13" s="497">
        <v>4.7496064899999997</v>
      </c>
      <c r="L13" s="497">
        <v>3.2895504800000008</v>
      </c>
      <c r="M13" s="497">
        <v>5.3637593199999998</v>
      </c>
      <c r="N13" s="497">
        <v>7.9296354499999993</v>
      </c>
      <c r="O13" s="498">
        <f t="shared" si="2"/>
        <v>52.782264140000002</v>
      </c>
      <c r="P13" s="2"/>
    </row>
    <row r="14" spans="1:16" ht="24.95" customHeight="1">
      <c r="A14" s="2"/>
      <c r="B14" s="390" t="s">
        <v>246</v>
      </c>
      <c r="C14" s="494">
        <f>+C15+C21+C24</f>
        <v>449.20118338899994</v>
      </c>
      <c r="D14" s="494">
        <f t="shared" ref="D14:N14" si="3">+D15+D21+D24</f>
        <v>392.48614750999991</v>
      </c>
      <c r="E14" s="494">
        <f t="shared" si="3"/>
        <v>422.06072095999997</v>
      </c>
      <c r="F14" s="494">
        <f t="shared" si="3"/>
        <v>453.42457917188892</v>
      </c>
      <c r="G14" s="494">
        <f t="shared" si="3"/>
        <v>472.87520911000001</v>
      </c>
      <c r="H14" s="494">
        <f t="shared" si="3"/>
        <v>470.16050273000019</v>
      </c>
      <c r="I14" s="494">
        <f t="shared" si="3"/>
        <v>521.72020801999997</v>
      </c>
      <c r="J14" s="494">
        <f t="shared" si="3"/>
        <v>389.37306228</v>
      </c>
      <c r="K14" s="494">
        <f t="shared" si="3"/>
        <v>428.62498184100008</v>
      </c>
      <c r="L14" s="494">
        <f t="shared" si="3"/>
        <v>438.30070286000011</v>
      </c>
      <c r="M14" s="494">
        <f t="shared" si="3"/>
        <v>409.00249464000001</v>
      </c>
      <c r="N14" s="494">
        <f t="shared" si="3"/>
        <v>641.0344378399999</v>
      </c>
      <c r="O14" s="495">
        <f>SUM(C14:N14)</f>
        <v>5488.2642303518887</v>
      </c>
      <c r="P14" s="2"/>
    </row>
    <row r="15" spans="1:16" ht="21" customHeight="1">
      <c r="A15" s="2"/>
      <c r="B15" s="376" t="s">
        <v>247</v>
      </c>
      <c r="C15" s="497">
        <f>+C16+C19+C20</f>
        <v>419.83140706149993</v>
      </c>
      <c r="D15" s="497">
        <f t="shared" ref="D15:N15" si="4">+D16+D19+D20</f>
        <v>343.90342764749994</v>
      </c>
      <c r="E15" s="497">
        <f t="shared" si="4"/>
        <v>362.85121432749997</v>
      </c>
      <c r="F15" s="497">
        <f t="shared" si="4"/>
        <v>399.29084340549997</v>
      </c>
      <c r="G15" s="497">
        <f t="shared" si="4"/>
        <v>408.6887466275</v>
      </c>
      <c r="H15" s="497">
        <f t="shared" si="4"/>
        <v>411.46537294750021</v>
      </c>
      <c r="I15" s="497">
        <f t="shared" si="4"/>
        <v>458.03268469749997</v>
      </c>
      <c r="J15" s="497">
        <f t="shared" si="4"/>
        <v>340.94183784749998</v>
      </c>
      <c r="K15" s="497">
        <f t="shared" si="4"/>
        <v>356.46981193850007</v>
      </c>
      <c r="L15" s="497">
        <f t="shared" si="4"/>
        <v>378.5632603575001</v>
      </c>
      <c r="M15" s="497">
        <f t="shared" si="4"/>
        <v>351.34752226749998</v>
      </c>
      <c r="N15" s="497">
        <f t="shared" si="4"/>
        <v>546.34256098749995</v>
      </c>
      <c r="O15" s="498">
        <f t="shared" ref="O15:O24" si="5">SUM(C15:N15)</f>
        <v>4777.728690113001</v>
      </c>
      <c r="P15" s="2"/>
    </row>
    <row r="16" spans="1:16" ht="15.75">
      <c r="A16" s="2"/>
      <c r="B16" s="371" t="s">
        <v>321</v>
      </c>
      <c r="C16" s="497">
        <f>+C17+C18</f>
        <v>233.5243963225</v>
      </c>
      <c r="D16" s="497">
        <f t="shared" ref="D16:N16" si="6">+D17+D18</f>
        <v>261.8910848475</v>
      </c>
      <c r="E16" s="497">
        <f t="shared" si="6"/>
        <v>282.08841425750001</v>
      </c>
      <c r="F16" s="497">
        <f t="shared" si="6"/>
        <v>287.11963629749999</v>
      </c>
      <c r="G16" s="497">
        <f t="shared" si="6"/>
        <v>291.48274927749998</v>
      </c>
      <c r="H16" s="497">
        <f t="shared" si="6"/>
        <v>277.82293203750021</v>
      </c>
      <c r="I16" s="497">
        <f t="shared" si="6"/>
        <v>270.37893794749999</v>
      </c>
      <c r="J16" s="497">
        <f t="shared" si="6"/>
        <v>259.52300130750001</v>
      </c>
      <c r="K16" s="497">
        <f t="shared" si="6"/>
        <v>270.83136344750005</v>
      </c>
      <c r="L16" s="497">
        <f t="shared" si="6"/>
        <v>264.10190420750007</v>
      </c>
      <c r="M16" s="497">
        <f t="shared" si="6"/>
        <v>248.6084684775</v>
      </c>
      <c r="N16" s="497">
        <f t="shared" si="6"/>
        <v>438.34774954749992</v>
      </c>
      <c r="O16" s="498">
        <f t="shared" si="5"/>
        <v>3385.7206379750005</v>
      </c>
      <c r="P16" s="2"/>
    </row>
    <row r="17" spans="1:18" ht="15.75">
      <c r="A17" s="2"/>
      <c r="B17" s="395" t="s">
        <v>322</v>
      </c>
      <c r="C17" s="497">
        <v>174.93653146374999</v>
      </c>
      <c r="D17" s="497">
        <v>178.62312286225</v>
      </c>
      <c r="E17" s="497">
        <v>184.20748064125002</v>
      </c>
      <c r="F17" s="497">
        <v>191.13699530225</v>
      </c>
      <c r="G17" s="497">
        <v>190.32802836324998</v>
      </c>
      <c r="H17" s="497">
        <v>199.03258433824999</v>
      </c>
      <c r="I17" s="497">
        <v>181.23160474824999</v>
      </c>
      <c r="J17" s="497">
        <v>179.64509430325</v>
      </c>
      <c r="K17" s="497">
        <v>177.95581152625002</v>
      </c>
      <c r="L17" s="497">
        <v>177.49001727425002</v>
      </c>
      <c r="M17" s="497">
        <v>175.84489529125</v>
      </c>
      <c r="N17" s="497">
        <v>314.00341759724995</v>
      </c>
      <c r="O17" s="498">
        <f t="shared" si="5"/>
        <v>2324.4355837114999</v>
      </c>
      <c r="P17" s="2"/>
    </row>
    <row r="18" spans="1:18" ht="15.75">
      <c r="A18" s="2"/>
      <c r="B18" s="395" t="s">
        <v>323</v>
      </c>
      <c r="C18" s="497">
        <v>58.587864858750002</v>
      </c>
      <c r="D18" s="497">
        <v>83.267961985249997</v>
      </c>
      <c r="E18" s="497">
        <v>97.880933616250005</v>
      </c>
      <c r="F18" s="497">
        <v>95.982640995250009</v>
      </c>
      <c r="G18" s="497">
        <v>101.15472091424999</v>
      </c>
      <c r="H18" s="497">
        <v>78.790347699250205</v>
      </c>
      <c r="I18" s="497">
        <v>89.147333199249999</v>
      </c>
      <c r="J18" s="497">
        <v>79.877907004249991</v>
      </c>
      <c r="K18" s="497">
        <v>92.875551921250008</v>
      </c>
      <c r="L18" s="497">
        <v>86.61188693325002</v>
      </c>
      <c r="M18" s="497">
        <v>72.763573186249999</v>
      </c>
      <c r="N18" s="497">
        <v>124.34433195024999</v>
      </c>
      <c r="O18" s="498">
        <f t="shared" si="5"/>
        <v>1061.2850542635003</v>
      </c>
      <c r="P18" s="2"/>
    </row>
    <row r="19" spans="1:18" ht="15.75">
      <c r="A19" s="2"/>
      <c r="B19" s="371" t="s">
        <v>352</v>
      </c>
      <c r="C19" s="497">
        <v>119.11092397899999</v>
      </c>
      <c r="D19" s="497">
        <v>25.612291659999997</v>
      </c>
      <c r="E19" s="497">
        <v>24.19490068</v>
      </c>
      <c r="F19" s="497">
        <v>44.472221230000002</v>
      </c>
      <c r="G19" s="497">
        <v>40.673693450000002</v>
      </c>
      <c r="H19" s="497">
        <v>62.779058830000004</v>
      </c>
      <c r="I19" s="497">
        <v>119.73902895000001</v>
      </c>
      <c r="J19" s="497">
        <v>27.629675750000001</v>
      </c>
      <c r="K19" s="497">
        <v>27.732389220000002</v>
      </c>
      <c r="L19" s="497">
        <v>50.219860759999996</v>
      </c>
      <c r="M19" s="497">
        <v>42.530617589999999</v>
      </c>
      <c r="N19" s="497">
        <v>55.095118840000005</v>
      </c>
      <c r="O19" s="498">
        <f t="shared" si="5"/>
        <v>639.78978093900002</v>
      </c>
      <c r="P19" s="2"/>
    </row>
    <row r="20" spans="1:18" ht="15.75">
      <c r="A20" s="2"/>
      <c r="B20" s="371" t="s">
        <v>325</v>
      </c>
      <c r="C20" s="497">
        <v>67.196086759999986</v>
      </c>
      <c r="D20" s="497">
        <v>56.400051139999988</v>
      </c>
      <c r="E20" s="497">
        <v>56.567899390000008</v>
      </c>
      <c r="F20" s="497">
        <v>67.698985877999988</v>
      </c>
      <c r="G20" s="497">
        <v>76.532303899999988</v>
      </c>
      <c r="H20" s="497">
        <v>70.863382079999994</v>
      </c>
      <c r="I20" s="497">
        <v>67.914717800000005</v>
      </c>
      <c r="J20" s="497">
        <v>53.789160789999997</v>
      </c>
      <c r="K20" s="497">
        <v>57.906059271000004</v>
      </c>
      <c r="L20" s="497">
        <v>64.241495390000011</v>
      </c>
      <c r="M20" s="497">
        <v>60.208436199999994</v>
      </c>
      <c r="N20" s="497">
        <v>52.899692600000002</v>
      </c>
      <c r="O20" s="498">
        <f t="shared" si="5"/>
        <v>752.21827119900013</v>
      </c>
      <c r="P20" s="2"/>
    </row>
    <row r="21" spans="1:18" ht="21" customHeight="1">
      <c r="A21" s="2"/>
      <c r="B21" s="376" t="s">
        <v>259</v>
      </c>
      <c r="C21" s="497">
        <f>+C22+C23</f>
        <v>29.369776327499995</v>
      </c>
      <c r="D21" s="497">
        <f t="shared" ref="D21:N21" si="7">+D22+D23</f>
        <v>48.582719862499999</v>
      </c>
      <c r="E21" s="497">
        <f t="shared" si="7"/>
        <v>59.209506632500002</v>
      </c>
      <c r="F21" s="497">
        <f t="shared" si="7"/>
        <v>54.145380906388944</v>
      </c>
      <c r="G21" s="497">
        <f t="shared" si="7"/>
        <v>64.186462482499991</v>
      </c>
      <c r="H21" s="497">
        <f t="shared" si="7"/>
        <v>58.919406832500002</v>
      </c>
      <c r="I21" s="497">
        <f t="shared" si="7"/>
        <v>63.687523322500006</v>
      </c>
      <c r="J21" s="497">
        <f t="shared" si="7"/>
        <v>48.431224432500002</v>
      </c>
      <c r="K21" s="497">
        <f t="shared" si="7"/>
        <v>72.155169902500006</v>
      </c>
      <c r="L21" s="497">
        <f t="shared" si="7"/>
        <v>59.737442502500002</v>
      </c>
      <c r="M21" s="497">
        <f t="shared" si="7"/>
        <v>57.654972372500005</v>
      </c>
      <c r="N21" s="497">
        <f t="shared" si="7"/>
        <v>94.691876852499988</v>
      </c>
      <c r="O21" s="498">
        <f>SUM(C21:N21)</f>
        <v>710.77146242888887</v>
      </c>
      <c r="P21" s="2"/>
    </row>
    <row r="22" spans="1:18" ht="15.75">
      <c r="A22" s="2"/>
      <c r="B22" s="371" t="s">
        <v>260</v>
      </c>
      <c r="C22" s="497">
        <v>29.056279537499996</v>
      </c>
      <c r="D22" s="497">
        <v>41.191654232499999</v>
      </c>
      <c r="E22" s="497">
        <v>52.220312442500003</v>
      </c>
      <c r="F22" s="497">
        <v>49.735600456388944</v>
      </c>
      <c r="G22" s="497">
        <v>55.352851632499998</v>
      </c>
      <c r="H22" s="497">
        <v>56.444719132500005</v>
      </c>
      <c r="I22" s="497">
        <v>58.341666182500006</v>
      </c>
      <c r="J22" s="497">
        <v>42.411167102500002</v>
      </c>
      <c r="K22" s="497">
        <v>66.185352762500003</v>
      </c>
      <c r="L22" s="497">
        <v>53.5076554125</v>
      </c>
      <c r="M22" s="497">
        <v>54.634748312500001</v>
      </c>
      <c r="N22" s="497">
        <v>91.665335072499985</v>
      </c>
      <c r="O22" s="498">
        <f t="shared" si="5"/>
        <v>650.74734227888894</v>
      </c>
      <c r="P22" s="2"/>
    </row>
    <row r="23" spans="1:18" ht="15.75">
      <c r="A23" s="2"/>
      <c r="B23" s="371" t="s">
        <v>326</v>
      </c>
      <c r="C23" s="497">
        <v>0.31349679000000003</v>
      </c>
      <c r="D23" s="497">
        <v>7.3910656299999999</v>
      </c>
      <c r="E23" s="497">
        <v>6.989194190000001</v>
      </c>
      <c r="F23" s="497">
        <v>4.4097804500000004</v>
      </c>
      <c r="G23" s="497">
        <v>8.8336108499999995</v>
      </c>
      <c r="H23" s="497">
        <v>2.4746877</v>
      </c>
      <c r="I23" s="497">
        <v>5.3458571399999997</v>
      </c>
      <c r="J23" s="497">
        <v>6.0200573300000002</v>
      </c>
      <c r="K23" s="497">
        <v>5.9698171399999991</v>
      </c>
      <c r="L23" s="497">
        <v>6.2297870900000012</v>
      </c>
      <c r="M23" s="497">
        <v>3.0202240600000008</v>
      </c>
      <c r="N23" s="497">
        <v>3.0265417800000001</v>
      </c>
      <c r="O23" s="498">
        <f t="shared" si="5"/>
        <v>60.024120150000009</v>
      </c>
      <c r="P23" s="2"/>
    </row>
    <row r="24" spans="1:18" ht="21" customHeight="1">
      <c r="A24" s="2"/>
      <c r="B24" s="376" t="s">
        <v>327</v>
      </c>
      <c r="C24" s="497">
        <v>0</v>
      </c>
      <c r="D24" s="497">
        <v>0</v>
      </c>
      <c r="E24" s="497">
        <v>0</v>
      </c>
      <c r="F24" s="497">
        <v>-1.164514E-2</v>
      </c>
      <c r="G24" s="497">
        <v>0</v>
      </c>
      <c r="H24" s="497">
        <v>-0.22427705000000001</v>
      </c>
      <c r="I24" s="497">
        <v>0</v>
      </c>
      <c r="J24" s="497">
        <v>0</v>
      </c>
      <c r="K24" s="497">
        <v>0</v>
      </c>
      <c r="L24" s="497">
        <v>0</v>
      </c>
      <c r="M24" s="497">
        <v>0</v>
      </c>
      <c r="N24" s="497">
        <v>0</v>
      </c>
      <c r="O24" s="498">
        <f t="shared" si="5"/>
        <v>-0.23592219</v>
      </c>
      <c r="P24" s="2"/>
    </row>
    <row r="25" spans="1:18" ht="24.95" customHeight="1">
      <c r="A25" s="2"/>
      <c r="B25" s="390" t="s">
        <v>269</v>
      </c>
      <c r="C25" s="494">
        <f t="shared" ref="C25:N25" si="8">C8-C15</f>
        <v>22.58627442683337</v>
      </c>
      <c r="D25" s="494">
        <f t="shared" si="8"/>
        <v>9.0490830208333932</v>
      </c>
      <c r="E25" s="494">
        <f t="shared" si="8"/>
        <v>40.446346667833325</v>
      </c>
      <c r="F25" s="494">
        <f t="shared" si="8"/>
        <v>274.63212663283326</v>
      </c>
      <c r="G25" s="494">
        <f t="shared" si="8"/>
        <v>28.86525268083335</v>
      </c>
      <c r="H25" s="494">
        <f t="shared" si="8"/>
        <v>-29.485214559166991</v>
      </c>
      <c r="I25" s="494">
        <f t="shared" si="8"/>
        <v>-63.677710899166641</v>
      </c>
      <c r="J25" s="494">
        <f t="shared" si="8"/>
        <v>16.506657057833365</v>
      </c>
      <c r="K25" s="494">
        <f t="shared" si="8"/>
        <v>9.9897794081587108</v>
      </c>
      <c r="L25" s="494">
        <f t="shared" si="8"/>
        <v>8.0652782892174741</v>
      </c>
      <c r="M25" s="494">
        <f t="shared" si="8"/>
        <v>46.098510930833243</v>
      </c>
      <c r="N25" s="494">
        <f t="shared" si="8"/>
        <v>-71.362790569166634</v>
      </c>
      <c r="O25" s="495">
        <f>SUM(C25:N25)</f>
        <v>291.71359308770923</v>
      </c>
      <c r="P25" s="2"/>
    </row>
    <row r="26" spans="1:18" ht="24.95" customHeight="1">
      <c r="A26" s="2"/>
      <c r="B26" s="396" t="s">
        <v>735</v>
      </c>
      <c r="C26" s="494"/>
      <c r="D26" s="494"/>
      <c r="E26" s="494"/>
      <c r="F26" s="494"/>
      <c r="G26" s="494"/>
      <c r="H26" s="494"/>
      <c r="I26" s="494"/>
      <c r="J26" s="494"/>
      <c r="K26" s="494"/>
      <c r="L26" s="494"/>
      <c r="M26" s="494"/>
      <c r="N26" s="494"/>
      <c r="O26" s="495"/>
      <c r="P26" s="2"/>
    </row>
    <row r="27" spans="1:18" ht="21" customHeight="1">
      <c r="A27" s="2"/>
      <c r="B27" s="399" t="s">
        <v>737</v>
      </c>
      <c r="C27" s="494">
        <f>C30+C19</f>
        <v>114.80194597833336</v>
      </c>
      <c r="D27" s="494">
        <f>D30+D19</f>
        <v>-9.8176039516665554</v>
      </c>
      <c r="E27" s="494">
        <f t="shared" ref="E27:N27" si="9">E30+E19</f>
        <v>12.011869965333357</v>
      </c>
      <c r="F27" s="494">
        <f t="shared" si="9"/>
        <v>268.06620562644429</v>
      </c>
      <c r="G27" s="494">
        <f t="shared" si="9"/>
        <v>9.5501802183333382</v>
      </c>
      <c r="H27" s="494">
        <f t="shared" si="9"/>
        <v>-21.528593521666942</v>
      </c>
      <c r="I27" s="494">
        <f t="shared" si="9"/>
        <v>-2.0705052016666343</v>
      </c>
      <c r="J27" s="494">
        <f t="shared" si="9"/>
        <v>-2.7252557646666453</v>
      </c>
      <c r="K27" s="494">
        <f t="shared" si="9"/>
        <v>-29.683394784341274</v>
      </c>
      <c r="L27" s="494">
        <f t="shared" si="9"/>
        <v>1.8372470267174563</v>
      </c>
      <c r="M27" s="494">
        <f t="shared" si="9"/>
        <v>36.3379154683332</v>
      </c>
      <c r="N27" s="494">
        <f t="shared" si="9"/>
        <v>-103.0299131316666</v>
      </c>
      <c r="O27" s="495">
        <f t="shared" ref="O27:O28" si="10">SUM(C27:N27)</f>
        <v>273.75009792782043</v>
      </c>
      <c r="P27" s="2"/>
    </row>
    <row r="28" spans="1:18" ht="21" customHeight="1">
      <c r="A28" s="2"/>
      <c r="B28" s="399" t="s">
        <v>736</v>
      </c>
      <c r="C28" s="494">
        <f>C27-C49</f>
        <v>77.298131358333364</v>
      </c>
      <c r="D28" s="494">
        <f>D27-D49</f>
        <v>-47.545962901666556</v>
      </c>
      <c r="E28" s="494">
        <f t="shared" ref="E28:M28" si="11">E27-E49</f>
        <v>-25.857661614666643</v>
      </c>
      <c r="F28" s="494">
        <f t="shared" si="11"/>
        <v>230.2114140364443</v>
      </c>
      <c r="G28" s="494">
        <f t="shared" si="11"/>
        <v>-28.616237181666662</v>
      </c>
      <c r="H28" s="494">
        <f t="shared" si="11"/>
        <v>-59.85272140166694</v>
      </c>
      <c r="I28" s="494">
        <f t="shared" si="11"/>
        <v>-40.893550671666631</v>
      </c>
      <c r="J28" s="494">
        <f t="shared" si="11"/>
        <v>-41.430453064666651</v>
      </c>
      <c r="K28" s="494">
        <f t="shared" si="11"/>
        <v>-67.68425550434128</v>
      </c>
      <c r="L28" s="494">
        <f t="shared" si="11"/>
        <v>-37.085515143282542</v>
      </c>
      <c r="M28" s="494">
        <f t="shared" si="11"/>
        <v>-7.1652022616667992</v>
      </c>
      <c r="N28" s="494">
        <f>N27-N49</f>
        <v>-162.8381153516666</v>
      </c>
      <c r="O28" s="495">
        <f t="shared" si="10"/>
        <v>-211.46012970217964</v>
      </c>
      <c r="P28" s="2"/>
    </row>
    <row r="29" spans="1:18" ht="24.95" customHeight="1">
      <c r="A29" s="2"/>
      <c r="B29" s="397" t="s">
        <v>328</v>
      </c>
      <c r="C29" s="497"/>
      <c r="D29" s="497"/>
      <c r="E29" s="497"/>
      <c r="F29" s="497"/>
      <c r="G29" s="497"/>
      <c r="H29" s="497"/>
      <c r="I29" s="497"/>
      <c r="J29" s="497"/>
      <c r="K29" s="497"/>
      <c r="L29" s="497"/>
      <c r="M29" s="497"/>
      <c r="N29" s="497"/>
      <c r="O29" s="495"/>
      <c r="P29" s="2"/>
    </row>
    <row r="30" spans="1:18" ht="21" customHeight="1">
      <c r="A30" s="2"/>
      <c r="B30" s="399" t="s">
        <v>329</v>
      </c>
      <c r="C30" s="494">
        <f t="shared" ref="C30:N30" si="12">C7-C14</f>
        <v>-4.3089780006666274</v>
      </c>
      <c r="D30" s="494">
        <f t="shared" si="12"/>
        <v>-35.429895611666552</v>
      </c>
      <c r="E30" s="494">
        <f t="shared" si="12"/>
        <v>-12.183030714666643</v>
      </c>
      <c r="F30" s="494">
        <f t="shared" si="12"/>
        <v>223.59398439644428</v>
      </c>
      <c r="G30" s="494">
        <f t="shared" si="12"/>
        <v>-31.123513231666664</v>
      </c>
      <c r="H30" s="494">
        <f t="shared" si="12"/>
        <v>-84.307652351666945</v>
      </c>
      <c r="I30" s="494">
        <f t="shared" si="12"/>
        <v>-121.80953415166664</v>
      </c>
      <c r="J30" s="494">
        <f t="shared" si="12"/>
        <v>-30.354931514666646</v>
      </c>
      <c r="K30" s="494">
        <f t="shared" si="12"/>
        <v>-57.415784004341276</v>
      </c>
      <c r="L30" s="494">
        <f t="shared" si="12"/>
        <v>-48.38261373328254</v>
      </c>
      <c r="M30" s="494">
        <f t="shared" si="12"/>
        <v>-6.1927021216667981</v>
      </c>
      <c r="N30" s="494">
        <f t="shared" si="12"/>
        <v>-158.1250319716666</v>
      </c>
      <c r="O30" s="495">
        <f t="shared" ref="O30:O44" si="13">SUM(C30:N30)</f>
        <v>-366.03968301117965</v>
      </c>
      <c r="P30" s="2"/>
    </row>
    <row r="31" spans="1:18" ht="21" customHeight="1">
      <c r="A31" s="2"/>
      <c r="B31" s="399" t="s">
        <v>330</v>
      </c>
      <c r="C31" s="494">
        <f t="shared" ref="C31:N31" si="14">C30-C13</f>
        <v>-6.7835019006666277</v>
      </c>
      <c r="D31" s="494">
        <f t="shared" si="14"/>
        <v>-39.533636841666549</v>
      </c>
      <c r="E31" s="494">
        <f t="shared" si="14"/>
        <v>-18.763159964666642</v>
      </c>
      <c r="F31" s="494">
        <f t="shared" si="14"/>
        <v>220.49839086644428</v>
      </c>
      <c r="G31" s="494">
        <f t="shared" si="14"/>
        <v>-35.321209801666662</v>
      </c>
      <c r="H31" s="494">
        <f t="shared" si="14"/>
        <v>-88.180344341666952</v>
      </c>
      <c r="I31" s="494">
        <f t="shared" si="14"/>
        <v>-127.36523422166664</v>
      </c>
      <c r="J31" s="494">
        <f t="shared" si="14"/>
        <v>-31.924567374666644</v>
      </c>
      <c r="K31" s="494">
        <f t="shared" si="14"/>
        <v>-62.165390494341274</v>
      </c>
      <c r="L31" s="494">
        <f t="shared" si="14"/>
        <v>-51.672164213282542</v>
      </c>
      <c r="M31" s="494">
        <f t="shared" si="14"/>
        <v>-11.556461441666798</v>
      </c>
      <c r="N31" s="494">
        <f t="shared" si="14"/>
        <v>-166.05466742166661</v>
      </c>
      <c r="O31" s="495">
        <f t="shared" si="13"/>
        <v>-418.82194715117964</v>
      </c>
      <c r="P31" s="2"/>
    </row>
    <row r="32" spans="1:18" ht="21" customHeight="1">
      <c r="A32" s="2"/>
      <c r="B32" s="399" t="s">
        <v>355</v>
      </c>
      <c r="C32" s="494">
        <f t="shared" ref="C32:N32" si="15">C30-C49</f>
        <v>-41.812792620666627</v>
      </c>
      <c r="D32" s="494">
        <f t="shared" si="15"/>
        <v>-73.158254561666553</v>
      </c>
      <c r="E32" s="494">
        <f t="shared" si="15"/>
        <v>-50.052562294666643</v>
      </c>
      <c r="F32" s="494">
        <f t="shared" si="15"/>
        <v>185.73919280644429</v>
      </c>
      <c r="G32" s="494">
        <f t="shared" si="15"/>
        <v>-69.289930631666664</v>
      </c>
      <c r="H32" s="494">
        <f t="shared" si="15"/>
        <v>-122.63178023166694</v>
      </c>
      <c r="I32" s="494">
        <f t="shared" si="15"/>
        <v>-160.63257962166665</v>
      </c>
      <c r="J32" s="494">
        <f t="shared" si="15"/>
        <v>-69.060128814666655</v>
      </c>
      <c r="K32" s="494">
        <f t="shared" si="15"/>
        <v>-95.416644724341282</v>
      </c>
      <c r="L32" s="494">
        <f t="shared" si="15"/>
        <v>-87.305375903282538</v>
      </c>
      <c r="M32" s="494">
        <f t="shared" si="15"/>
        <v>-49.695819851666798</v>
      </c>
      <c r="N32" s="494">
        <f t="shared" si="15"/>
        <v>-217.9332341916666</v>
      </c>
      <c r="O32" s="495">
        <f t="shared" si="13"/>
        <v>-851.24991064117967</v>
      </c>
      <c r="P32" s="2"/>
      <c r="R32" s="23">
        <f>+O32+O19</f>
        <v>-211.46012970217964</v>
      </c>
    </row>
    <row r="33" spans="1:18" ht="24.95" customHeight="1">
      <c r="A33" s="2"/>
      <c r="B33" s="390" t="s">
        <v>332</v>
      </c>
      <c r="C33" s="494">
        <f>SUM(C34:C35)</f>
        <v>-12.153148860000002</v>
      </c>
      <c r="D33" s="494">
        <f t="shared" ref="D33:N33" si="16">SUM(D34:D35)</f>
        <v>-19.717360020000001</v>
      </c>
      <c r="E33" s="494">
        <f t="shared" si="16"/>
        <v>-11.439562420000001</v>
      </c>
      <c r="F33" s="494">
        <f t="shared" si="16"/>
        <v>2.0743626400000004</v>
      </c>
      <c r="G33" s="494">
        <f t="shared" si="16"/>
        <v>-19.268608020000002</v>
      </c>
      <c r="H33" s="494">
        <f t="shared" si="16"/>
        <v>-9.6638399100000001</v>
      </c>
      <c r="I33" s="494">
        <f t="shared" si="16"/>
        <v>41.902653090000001</v>
      </c>
      <c r="J33" s="494">
        <f t="shared" si="16"/>
        <v>13.235300909999999</v>
      </c>
      <c r="K33" s="494">
        <f t="shared" si="16"/>
        <v>-5.202881870000013</v>
      </c>
      <c r="L33" s="494">
        <f t="shared" si="16"/>
        <v>4.5496407800000007</v>
      </c>
      <c r="M33" s="494">
        <f t="shared" si="16"/>
        <v>-11.018074480000003</v>
      </c>
      <c r="N33" s="494">
        <f t="shared" si="16"/>
        <v>13.555229740000001</v>
      </c>
      <c r="O33" s="495">
        <f t="shared" si="13"/>
        <v>-13.146288420000008</v>
      </c>
      <c r="P33" s="2"/>
    </row>
    <row r="34" spans="1:18" ht="15.75">
      <c r="A34" s="2"/>
      <c r="B34" s="376" t="s">
        <v>276</v>
      </c>
      <c r="C34" s="497">
        <v>2.6124500900000003</v>
      </c>
      <c r="D34" s="497">
        <v>10.393077030000001</v>
      </c>
      <c r="E34" s="497">
        <v>4.1625445000000001</v>
      </c>
      <c r="F34" s="497">
        <v>9.2801882300000003</v>
      </c>
      <c r="G34" s="497">
        <v>4.9935818300000001</v>
      </c>
      <c r="H34" s="497">
        <v>25.526181010000002</v>
      </c>
      <c r="I34" s="497">
        <v>58.254818710000002</v>
      </c>
      <c r="J34" s="497">
        <v>44.986562450000001</v>
      </c>
      <c r="K34" s="497">
        <v>95.246716429999992</v>
      </c>
      <c r="L34" s="497">
        <v>13.1623167</v>
      </c>
      <c r="M34" s="497">
        <v>15.31145489</v>
      </c>
      <c r="N34" s="497">
        <v>48.278276470000002</v>
      </c>
      <c r="O34" s="498">
        <f t="shared" si="13"/>
        <v>332.20816833999999</v>
      </c>
      <c r="P34" s="2"/>
    </row>
    <row r="35" spans="1:18" ht="15.75">
      <c r="A35" s="2"/>
      <c r="B35" s="376" t="s">
        <v>277</v>
      </c>
      <c r="C35" s="497">
        <v>-14.765598950000001</v>
      </c>
      <c r="D35" s="497">
        <v>-30.110437050000002</v>
      </c>
      <c r="E35" s="497">
        <v>-15.602106920000001</v>
      </c>
      <c r="F35" s="497">
        <v>-7.2058255899999999</v>
      </c>
      <c r="G35" s="497">
        <v>-24.262189850000002</v>
      </c>
      <c r="H35" s="497">
        <v>-35.190020920000002</v>
      </c>
      <c r="I35" s="497">
        <v>-16.352165620000001</v>
      </c>
      <c r="J35" s="497">
        <v>-31.751261540000002</v>
      </c>
      <c r="K35" s="497">
        <v>-100.44959830000001</v>
      </c>
      <c r="L35" s="497">
        <v>-8.6126759199999992</v>
      </c>
      <c r="M35" s="497">
        <v>-26.329529370000003</v>
      </c>
      <c r="N35" s="497">
        <v>-34.72304673</v>
      </c>
      <c r="O35" s="498">
        <f t="shared" si="13"/>
        <v>-345.35445676000001</v>
      </c>
      <c r="P35" s="2"/>
    </row>
    <row r="36" spans="1:18" ht="24.95" customHeight="1">
      <c r="A36" s="2"/>
      <c r="B36" s="390" t="s">
        <v>333</v>
      </c>
      <c r="C36" s="494">
        <f>SUM(C37:C43)</f>
        <v>16.462126860666629</v>
      </c>
      <c r="D36" s="494">
        <f t="shared" ref="D36:N36" si="17">SUM(D37:D43)</f>
        <v>55.147255631666553</v>
      </c>
      <c r="E36" s="494">
        <f t="shared" si="17"/>
        <v>23.622593134666644</v>
      </c>
      <c r="F36" s="494">
        <f t="shared" si="17"/>
        <v>-225.66834703644429</v>
      </c>
      <c r="G36" s="494">
        <f t="shared" si="17"/>
        <v>50.392121251666666</v>
      </c>
      <c r="H36" s="494">
        <f t="shared" si="17"/>
        <v>93.971492261666924</v>
      </c>
      <c r="I36" s="494">
        <f t="shared" si="17"/>
        <v>79.906881061666681</v>
      </c>
      <c r="J36" s="494">
        <f t="shared" si="17"/>
        <v>17.119630604666654</v>
      </c>
      <c r="K36" s="494">
        <f t="shared" si="17"/>
        <v>62.618665874341289</v>
      </c>
      <c r="L36" s="494">
        <f t="shared" si="17"/>
        <v>43.832972953282535</v>
      </c>
      <c r="M36" s="494">
        <f t="shared" si="17"/>
        <v>17.210776601666794</v>
      </c>
      <c r="N36" s="494">
        <f t="shared" si="17"/>
        <v>144.56980223166661</v>
      </c>
      <c r="O36" s="495">
        <f t="shared" si="13"/>
        <v>379.18597143117972</v>
      </c>
      <c r="P36" s="2"/>
    </row>
    <row r="37" spans="1:18" ht="15.75">
      <c r="A37" s="2"/>
      <c r="B37" s="376" t="s">
        <v>279</v>
      </c>
      <c r="C37" s="497">
        <v>28.252000000000002</v>
      </c>
      <c r="D37" s="497">
        <v>-43.408000000000001</v>
      </c>
      <c r="E37" s="497">
        <v>6.3889999999999993</v>
      </c>
      <c r="F37" s="497">
        <v>-23.94</v>
      </c>
      <c r="G37" s="497">
        <v>-107.49414285</v>
      </c>
      <c r="H37" s="497">
        <v>35.664000000000001</v>
      </c>
      <c r="I37" s="497">
        <v>14.401999999999999</v>
      </c>
      <c r="J37" s="497">
        <v>14.631</v>
      </c>
      <c r="K37" s="497">
        <v>13.152000000000001</v>
      </c>
      <c r="L37" s="497">
        <v>84.828999999999994</v>
      </c>
      <c r="M37" s="497">
        <v>-25.577000000000002</v>
      </c>
      <c r="N37" s="497">
        <v>26.850000000000026</v>
      </c>
      <c r="O37" s="498">
        <f t="shared" si="13"/>
        <v>23.749857150000025</v>
      </c>
      <c r="P37" s="2"/>
    </row>
    <row r="38" spans="1:18" ht="15.75">
      <c r="A38" s="2"/>
      <c r="B38" s="376" t="s">
        <v>282</v>
      </c>
      <c r="C38" s="497">
        <v>-10.725200559999998</v>
      </c>
      <c r="D38" s="497">
        <v>40.55024641</v>
      </c>
      <c r="E38" s="497">
        <v>40.507139540000004</v>
      </c>
      <c r="F38" s="497">
        <v>-202.02545132</v>
      </c>
      <c r="G38" s="497">
        <v>176.63776966000003</v>
      </c>
      <c r="H38" s="497">
        <v>62.26749169</v>
      </c>
      <c r="I38" s="497">
        <v>101.00281035</v>
      </c>
      <c r="J38" s="497">
        <v>-9.3451873600000006</v>
      </c>
      <c r="K38" s="497">
        <v>44.669478900000001</v>
      </c>
      <c r="L38" s="497">
        <v>-13.621411719999999</v>
      </c>
      <c r="M38" s="497">
        <v>-33.063015099999994</v>
      </c>
      <c r="N38" s="497">
        <v>79.982894150000021</v>
      </c>
      <c r="O38" s="498">
        <f t="shared" si="13"/>
        <v>276.8375646400001</v>
      </c>
      <c r="P38" s="2"/>
    </row>
    <row r="39" spans="1:18" ht="15.75">
      <c r="A39" s="2"/>
      <c r="B39" s="376" t="s">
        <v>283</v>
      </c>
      <c r="C39" s="497">
        <v>0</v>
      </c>
      <c r="D39" s="497">
        <v>0</v>
      </c>
      <c r="E39" s="497">
        <v>0</v>
      </c>
      <c r="F39" s="497">
        <v>0</v>
      </c>
      <c r="G39" s="497">
        <v>0</v>
      </c>
      <c r="H39" s="497">
        <v>0</v>
      </c>
      <c r="I39" s="497">
        <v>0</v>
      </c>
      <c r="J39" s="497">
        <v>0</v>
      </c>
      <c r="K39" s="497">
        <v>0</v>
      </c>
      <c r="L39" s="497">
        <v>0</v>
      </c>
      <c r="M39" s="497">
        <v>0</v>
      </c>
      <c r="N39" s="497">
        <v>0</v>
      </c>
      <c r="O39" s="498">
        <f t="shared" si="13"/>
        <v>0</v>
      </c>
      <c r="P39" s="2"/>
    </row>
    <row r="40" spans="1:18" ht="15.75">
      <c r="A40" s="2"/>
      <c r="B40" s="376" t="s">
        <v>284</v>
      </c>
      <c r="C40" s="497">
        <v>27.753580110000001</v>
      </c>
      <c r="D40" s="497">
        <v>68.544492420000012</v>
      </c>
      <c r="E40" s="497">
        <v>62.397306</v>
      </c>
      <c r="F40" s="497">
        <v>31.715510519999999</v>
      </c>
      <c r="G40" s="497">
        <v>-14.795018820000003</v>
      </c>
      <c r="H40" s="497">
        <v>66.741525060000001</v>
      </c>
      <c r="I40" s="497">
        <v>31.518500099999997</v>
      </c>
      <c r="J40" s="497">
        <v>32.098194750000005</v>
      </c>
      <c r="K40" s="497">
        <v>49.446606462000005</v>
      </c>
      <c r="L40" s="497">
        <v>29.823240459999997</v>
      </c>
      <c r="M40" s="497">
        <v>109.21772788000001</v>
      </c>
      <c r="N40" s="497">
        <v>112.17123144</v>
      </c>
      <c r="O40" s="498">
        <f t="shared" si="13"/>
        <v>606.63289638200013</v>
      </c>
      <c r="P40" s="2"/>
    </row>
    <row r="41" spans="1:18" ht="15.75">
      <c r="A41" s="2"/>
      <c r="B41" s="376" t="s">
        <v>334</v>
      </c>
      <c r="C41" s="497">
        <v>0</v>
      </c>
      <c r="D41" s="497">
        <v>0</v>
      </c>
      <c r="E41" s="497">
        <v>0</v>
      </c>
      <c r="F41" s="497">
        <v>0</v>
      </c>
      <c r="G41" s="497">
        <v>0</v>
      </c>
      <c r="H41" s="497">
        <v>0</v>
      </c>
      <c r="I41" s="497">
        <v>0</v>
      </c>
      <c r="J41" s="497">
        <v>0</v>
      </c>
      <c r="K41" s="497">
        <v>0</v>
      </c>
      <c r="L41" s="497">
        <v>0</v>
      </c>
      <c r="M41" s="497">
        <v>0</v>
      </c>
      <c r="N41" s="497">
        <v>0</v>
      </c>
      <c r="O41" s="498">
        <f t="shared" si="13"/>
        <v>0</v>
      </c>
      <c r="P41" s="2"/>
    </row>
    <row r="42" spans="1:18" ht="15.75">
      <c r="A42" s="2"/>
      <c r="B42" s="376" t="s">
        <v>335</v>
      </c>
      <c r="C42" s="497">
        <v>-37.50381462</v>
      </c>
      <c r="D42" s="497">
        <v>-37.728358950000001</v>
      </c>
      <c r="E42" s="497">
        <v>-37.86953158</v>
      </c>
      <c r="F42" s="497">
        <v>-37.854791589999998</v>
      </c>
      <c r="G42" s="497">
        <v>-38.1664174</v>
      </c>
      <c r="H42" s="497">
        <v>-38.324127879999999</v>
      </c>
      <c r="I42" s="497">
        <v>-38.823045469999997</v>
      </c>
      <c r="J42" s="497">
        <v>-38.705197300000002</v>
      </c>
      <c r="K42" s="497">
        <v>-38.000860720000006</v>
      </c>
      <c r="L42" s="497">
        <v>-38.922762169999999</v>
      </c>
      <c r="M42" s="497">
        <v>-43.50311773</v>
      </c>
      <c r="N42" s="497">
        <v>-59.808202219999998</v>
      </c>
      <c r="O42" s="498">
        <f t="shared" si="13"/>
        <v>-485.21022762999996</v>
      </c>
      <c r="P42" s="2"/>
    </row>
    <row r="43" spans="1:18" ht="15.75">
      <c r="A43" s="2"/>
      <c r="B43" s="376" t="s">
        <v>336</v>
      </c>
      <c r="C43" s="497">
        <v>8.6855619306666227</v>
      </c>
      <c r="D43" s="497">
        <v>27.188875751666544</v>
      </c>
      <c r="E43" s="497">
        <v>-47.801320825333363</v>
      </c>
      <c r="F43" s="497">
        <v>6.4363853535556927</v>
      </c>
      <c r="G43" s="497">
        <v>34.20993066166664</v>
      </c>
      <c r="H43" s="497">
        <v>-32.377396608333072</v>
      </c>
      <c r="I43" s="497">
        <v>-28.193383918333325</v>
      </c>
      <c r="J43" s="497">
        <v>18.440820514666648</v>
      </c>
      <c r="K43" s="497">
        <v>-6.648558767658713</v>
      </c>
      <c r="L43" s="497">
        <v>-18.275093616717456</v>
      </c>
      <c r="M43" s="497">
        <v>10.13618155166678</v>
      </c>
      <c r="N43" s="497">
        <v>-14.626121138333446</v>
      </c>
      <c r="O43" s="498">
        <f t="shared" si="13"/>
        <v>-42.824119110820448</v>
      </c>
      <c r="P43" s="2"/>
    </row>
    <row r="44" spans="1:18" ht="24.95" customHeight="1" thickBot="1">
      <c r="A44" s="2"/>
      <c r="B44" s="377" t="s">
        <v>337</v>
      </c>
      <c r="C44" s="499">
        <f t="shared" ref="C44:N44" si="18">-C30-C33-C36</f>
        <v>0</v>
      </c>
      <c r="D44" s="499">
        <f t="shared" si="18"/>
        <v>0</v>
      </c>
      <c r="E44" s="499">
        <f t="shared" si="18"/>
        <v>0</v>
      </c>
      <c r="F44" s="499">
        <f t="shared" si="18"/>
        <v>0</v>
      </c>
      <c r="G44" s="499">
        <f t="shared" si="18"/>
        <v>0</v>
      </c>
      <c r="H44" s="499">
        <f t="shared" si="18"/>
        <v>0</v>
      </c>
      <c r="I44" s="499">
        <f t="shared" si="18"/>
        <v>0</v>
      </c>
      <c r="J44" s="499">
        <f t="shared" si="18"/>
        <v>0</v>
      </c>
      <c r="K44" s="499">
        <f t="shared" si="18"/>
        <v>0</v>
      </c>
      <c r="L44" s="499">
        <f t="shared" si="18"/>
        <v>0</v>
      </c>
      <c r="M44" s="499">
        <f t="shared" si="18"/>
        <v>0</v>
      </c>
      <c r="N44" s="499">
        <f t="shared" si="18"/>
        <v>0</v>
      </c>
      <c r="O44" s="500">
        <f t="shared" si="13"/>
        <v>0</v>
      </c>
      <c r="P44" s="2"/>
      <c r="R44">
        <v>0</v>
      </c>
    </row>
    <row r="45" spans="1:18" ht="15.75">
      <c r="A45" s="2"/>
      <c r="B45" s="48" t="s">
        <v>338</v>
      </c>
      <c r="C45" s="354"/>
      <c r="D45" s="354"/>
      <c r="E45" s="354"/>
      <c r="F45" s="354"/>
      <c r="G45" s="354"/>
      <c r="H45" s="354"/>
      <c r="I45" s="354"/>
      <c r="J45" s="354"/>
      <c r="K45" s="354"/>
      <c r="L45" s="354"/>
      <c r="M45" s="354"/>
      <c r="N45" s="354"/>
      <c r="O45" s="2"/>
      <c r="P45" s="2"/>
    </row>
    <row r="46" spans="1:18" ht="15.75">
      <c r="A46" s="2"/>
      <c r="B46" s="48" t="s">
        <v>356</v>
      </c>
      <c r="C46" s="354"/>
      <c r="D46" s="354"/>
      <c r="E46" s="354"/>
      <c r="F46" s="354"/>
      <c r="G46" s="354"/>
      <c r="H46" s="354"/>
      <c r="I46" s="354"/>
      <c r="J46" s="354"/>
      <c r="K46" s="354"/>
      <c r="L46" s="354"/>
      <c r="M46" s="354"/>
      <c r="N46" s="354"/>
      <c r="O46" s="2"/>
      <c r="P46" s="2"/>
    </row>
    <row r="47" spans="1:18">
      <c r="A47" s="2"/>
      <c r="B47" s="329"/>
      <c r="C47" s="2"/>
      <c r="D47" s="2"/>
      <c r="E47" s="2"/>
      <c r="F47" s="2"/>
      <c r="G47" s="2"/>
      <c r="H47" s="2"/>
      <c r="I47" s="2"/>
      <c r="J47" s="2"/>
      <c r="K47" s="2"/>
      <c r="L47" s="2"/>
      <c r="M47" s="2"/>
      <c r="N47" s="2"/>
      <c r="O47" s="2"/>
      <c r="P47" s="2"/>
    </row>
    <row r="48" spans="1:18" ht="16.5" thickBot="1">
      <c r="A48" s="2"/>
      <c r="B48" s="353" t="s">
        <v>340</v>
      </c>
      <c r="C48" s="2"/>
      <c r="D48" s="2"/>
      <c r="E48" s="2"/>
      <c r="F48" s="2"/>
      <c r="G48" s="2"/>
      <c r="H48" s="2"/>
      <c r="I48" s="2"/>
      <c r="J48" s="2"/>
      <c r="K48" s="2"/>
      <c r="L48" s="2"/>
      <c r="M48" s="2"/>
      <c r="N48" s="2"/>
      <c r="O48" s="2"/>
      <c r="P48" s="2"/>
    </row>
    <row r="49" spans="1:16" ht="24.95" customHeight="1" thickBot="1">
      <c r="A49" s="2"/>
      <c r="B49" s="407" t="s">
        <v>357</v>
      </c>
      <c r="C49" s="501">
        <v>37.50381462</v>
      </c>
      <c r="D49" s="502">
        <v>37.728358950000001</v>
      </c>
      <c r="E49" s="502">
        <v>37.86953158</v>
      </c>
      <c r="F49" s="502">
        <v>37.854791589999998</v>
      </c>
      <c r="G49" s="502">
        <v>38.1664174</v>
      </c>
      <c r="H49" s="502">
        <v>38.324127879999999</v>
      </c>
      <c r="I49" s="502">
        <v>38.823045469999997</v>
      </c>
      <c r="J49" s="502">
        <v>38.705197300000002</v>
      </c>
      <c r="K49" s="502">
        <v>38.000860720000006</v>
      </c>
      <c r="L49" s="502">
        <v>38.922762169999999</v>
      </c>
      <c r="M49" s="502">
        <v>43.50311773</v>
      </c>
      <c r="N49" s="503">
        <v>59.808202219999998</v>
      </c>
      <c r="O49" s="504">
        <f>SUM(C49:N49)</f>
        <v>485.21022762999996</v>
      </c>
      <c r="P49" s="2"/>
    </row>
    <row r="50" spans="1:16" ht="15.75">
      <c r="B50" s="353" t="s">
        <v>18</v>
      </c>
      <c r="C50" s="2"/>
      <c r="D50" s="2"/>
      <c r="E50" s="2"/>
      <c r="F50" s="2"/>
      <c r="G50" s="2"/>
      <c r="H50" s="2"/>
      <c r="I50" s="2"/>
      <c r="J50" s="2"/>
      <c r="K50" s="2"/>
      <c r="L50" s="2"/>
      <c r="M50" s="2"/>
      <c r="N50" s="2"/>
      <c r="O50" s="2"/>
    </row>
    <row r="51" spans="1:16" ht="15.75">
      <c r="B51" s="353" t="s">
        <v>518</v>
      </c>
      <c r="C51" s="2"/>
      <c r="D51" s="2"/>
      <c r="E51" s="2"/>
      <c r="F51" s="2"/>
      <c r="G51" s="2"/>
      <c r="H51" s="2"/>
      <c r="I51" s="2"/>
      <c r="J51" s="2"/>
      <c r="K51" s="2"/>
      <c r="L51" s="2"/>
      <c r="M51" s="2"/>
      <c r="N51" s="2"/>
      <c r="O51" s="2"/>
    </row>
    <row r="52" spans="1:16" ht="15.75">
      <c r="B52" s="353" t="s">
        <v>55</v>
      </c>
      <c r="C52" s="2"/>
      <c r="D52" s="2"/>
      <c r="E52" s="2"/>
      <c r="F52" s="2"/>
      <c r="G52" s="2"/>
      <c r="H52" s="2"/>
      <c r="I52" s="2"/>
      <c r="J52" s="2"/>
      <c r="K52" s="2"/>
      <c r="L52" s="2"/>
      <c r="M52" s="2"/>
      <c r="N52" s="2"/>
      <c r="O52" s="2"/>
    </row>
    <row r="53" spans="1:16" ht="15.75" thickBot="1">
      <c r="B53" s="2"/>
      <c r="C53" s="2"/>
      <c r="D53" s="2"/>
      <c r="E53" s="2"/>
      <c r="F53" s="2"/>
      <c r="G53" s="2"/>
      <c r="H53" s="2"/>
      <c r="I53" s="2"/>
      <c r="J53" s="2"/>
      <c r="K53" s="2"/>
      <c r="L53" s="2"/>
      <c r="M53" s="2"/>
      <c r="N53" s="2"/>
      <c r="O53" s="2"/>
    </row>
    <row r="54" spans="1:16"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517</v>
      </c>
    </row>
    <row r="55" spans="1:16" ht="15.75">
      <c r="B55" s="358"/>
      <c r="C55" s="359"/>
      <c r="D55" s="359"/>
      <c r="E55" s="359"/>
      <c r="F55" s="359"/>
      <c r="G55" s="359"/>
      <c r="H55" s="359"/>
      <c r="I55" s="359"/>
      <c r="J55" s="359"/>
      <c r="K55" s="359"/>
      <c r="L55" s="359"/>
      <c r="M55" s="359"/>
      <c r="N55" s="359"/>
      <c r="O55" s="360"/>
    </row>
    <row r="56" spans="1:16" ht="24.95" customHeight="1">
      <c r="B56" s="390" t="s">
        <v>239</v>
      </c>
      <c r="C56" s="391">
        <f t="shared" ref="C56:O56" si="19">C7/$O$93</f>
        <v>1.8981468121682058E-2</v>
      </c>
      <c r="D56" s="391">
        <f t="shared" si="19"/>
        <v>1.5233919095389984E-2</v>
      </c>
      <c r="E56" s="391">
        <f t="shared" si="19"/>
        <v>1.7487562643156367E-2</v>
      </c>
      <c r="F56" s="391">
        <f t="shared" si="19"/>
        <v>2.8885213376445208E-2</v>
      </c>
      <c r="G56" s="391">
        <f t="shared" si="19"/>
        <v>1.8847477279792909E-2</v>
      </c>
      <c r="H56" s="391">
        <f t="shared" si="19"/>
        <v>1.6462535172365043E-2</v>
      </c>
      <c r="I56" s="391">
        <f t="shared" si="19"/>
        <v>1.7062316704169481E-2</v>
      </c>
      <c r="J56" s="391">
        <f t="shared" si="19"/>
        <v>1.5317623284228395E-2</v>
      </c>
      <c r="K56" s="391">
        <f t="shared" si="19"/>
        <v>1.5837759056851485E-2</v>
      </c>
      <c r="L56" s="391">
        <f t="shared" si="19"/>
        <v>1.6635979882735116E-2</v>
      </c>
      <c r="M56" s="391">
        <f t="shared" si="19"/>
        <v>1.7186008527872963E-2</v>
      </c>
      <c r="N56" s="391">
        <f t="shared" si="19"/>
        <v>2.0603484129709963E-2</v>
      </c>
      <c r="O56" s="392">
        <f t="shared" si="19"/>
        <v>0.21854134727439897</v>
      </c>
    </row>
    <row r="57" spans="1:16" ht="21" customHeight="1">
      <c r="B57" s="376" t="s">
        <v>240</v>
      </c>
      <c r="C57" s="393">
        <f t="shared" ref="C57:O57" si="20">C8/$O$93</f>
        <v>1.8875891768679442E-2</v>
      </c>
      <c r="D57" s="393">
        <f t="shared" si="20"/>
        <v>1.5058831664337139E-2</v>
      </c>
      <c r="E57" s="393">
        <f t="shared" si="20"/>
        <v>1.7206819325825372E-2</v>
      </c>
      <c r="F57" s="393">
        <f t="shared" si="20"/>
        <v>2.8753138889197023E-2</v>
      </c>
      <c r="G57" s="393">
        <f t="shared" si="20"/>
        <v>1.8668381214132689E-2</v>
      </c>
      <c r="H57" s="393">
        <f t="shared" si="20"/>
        <v>1.6297305530975584E-2</v>
      </c>
      <c r="I57" s="393">
        <f t="shared" si="20"/>
        <v>1.6825280985190583E-2</v>
      </c>
      <c r="J57" s="393">
        <f t="shared" si="20"/>
        <v>1.525065426863678E-2</v>
      </c>
      <c r="K57" s="393">
        <f t="shared" si="20"/>
        <v>1.5635115578074923E-2</v>
      </c>
      <c r="L57" s="393">
        <f t="shared" si="20"/>
        <v>1.6495630160230357E-2</v>
      </c>
      <c r="M57" s="393">
        <f t="shared" si="20"/>
        <v>1.6957162022333296E-2</v>
      </c>
      <c r="N57" s="393">
        <f t="shared" si="20"/>
        <v>2.0265163699080362E-2</v>
      </c>
      <c r="O57" s="394">
        <f t="shared" si="20"/>
        <v>0.21628937510669355</v>
      </c>
    </row>
    <row r="58" spans="1:16" ht="18.75">
      <c r="B58" s="371" t="s">
        <v>351</v>
      </c>
      <c r="C58" s="393">
        <f t="shared" ref="C58:O58" si="21">C9/$O$93</f>
        <v>1.5886949230402965E-2</v>
      </c>
      <c r="D58" s="393">
        <f t="shared" si="21"/>
        <v>1.2586938914355342E-2</v>
      </c>
      <c r="E58" s="393">
        <f t="shared" si="21"/>
        <v>1.4351554521585236E-2</v>
      </c>
      <c r="F58" s="393">
        <f t="shared" si="21"/>
        <v>2.6111833293370149E-2</v>
      </c>
      <c r="G58" s="393">
        <f t="shared" si="21"/>
        <v>1.3119146740540245E-2</v>
      </c>
      <c r="H58" s="393">
        <f t="shared" si="21"/>
        <v>1.354004876688693E-2</v>
      </c>
      <c r="I58" s="393">
        <f t="shared" si="21"/>
        <v>1.4206055255002081E-2</v>
      </c>
      <c r="J58" s="393">
        <f t="shared" si="21"/>
        <v>1.2820152568196247E-2</v>
      </c>
      <c r="K58" s="393">
        <f t="shared" si="21"/>
        <v>1.2803328879642839E-2</v>
      </c>
      <c r="L58" s="393">
        <f t="shared" si="21"/>
        <v>1.3683008808255225E-2</v>
      </c>
      <c r="M58" s="393">
        <f t="shared" si="21"/>
        <v>1.3398090732068614E-2</v>
      </c>
      <c r="N58" s="393">
        <f t="shared" si="21"/>
        <v>1.3190956191676506E-2</v>
      </c>
      <c r="O58" s="394">
        <f t="shared" si="21"/>
        <v>0.17569806390198237</v>
      </c>
    </row>
    <row r="59" spans="1:16" ht="15.75">
      <c r="B59" s="371" t="s">
        <v>317</v>
      </c>
      <c r="C59" s="393">
        <f t="shared" ref="C59:O59" si="22">C10/$O$93</f>
        <v>2.2728288846915697E-3</v>
      </c>
      <c r="D59" s="393">
        <f t="shared" si="22"/>
        <v>2.1283323943407581E-3</v>
      </c>
      <c r="E59" s="393">
        <f t="shared" si="22"/>
        <v>2.5535365649610783E-3</v>
      </c>
      <c r="F59" s="393">
        <f t="shared" si="22"/>
        <v>2.2638472687511232E-3</v>
      </c>
      <c r="G59" s="393">
        <f t="shared" si="22"/>
        <v>5.1483419944643172E-3</v>
      </c>
      <c r="H59" s="393">
        <f t="shared" si="22"/>
        <v>2.3477061651529011E-3</v>
      </c>
      <c r="I59" s="393">
        <f t="shared" si="22"/>
        <v>2.275029401027267E-3</v>
      </c>
      <c r="J59" s="393">
        <f t="shared" si="22"/>
        <v>2.2287523200689697E-3</v>
      </c>
      <c r="K59" s="393">
        <f t="shared" si="22"/>
        <v>2.4971640100390977E-3</v>
      </c>
      <c r="L59" s="393">
        <f t="shared" si="22"/>
        <v>2.5541459557849753E-3</v>
      </c>
      <c r="M59" s="393">
        <f t="shared" si="22"/>
        <v>2.8532481435608365E-3</v>
      </c>
      <c r="N59" s="393">
        <f t="shared" si="22"/>
        <v>6.5604573585018901E-3</v>
      </c>
      <c r="O59" s="394">
        <f t="shared" si="22"/>
        <v>3.5683390461344784E-2</v>
      </c>
    </row>
    <row r="60" spans="1:16" ht="15.75">
      <c r="B60" s="371" t="s">
        <v>318</v>
      </c>
      <c r="C60" s="393">
        <f t="shared" ref="C60:O60" si="23">C11/$O$93</f>
        <v>7.161136535849109E-4</v>
      </c>
      <c r="D60" s="393">
        <f t="shared" si="23"/>
        <v>3.435603556410378E-4</v>
      </c>
      <c r="E60" s="393">
        <f t="shared" si="23"/>
        <v>3.0172823927905834E-4</v>
      </c>
      <c r="F60" s="393">
        <f t="shared" si="23"/>
        <v>3.7745832707575282E-4</v>
      </c>
      <c r="G60" s="393">
        <f t="shared" si="23"/>
        <v>4.0089247912812587E-4</v>
      </c>
      <c r="H60" s="393">
        <f t="shared" si="23"/>
        <v>4.0955059893575582E-4</v>
      </c>
      <c r="I60" s="393">
        <f t="shared" si="23"/>
        <v>3.4419632916123376E-4</v>
      </c>
      <c r="J60" s="393">
        <f t="shared" si="23"/>
        <v>2.0174938037156385E-4</v>
      </c>
      <c r="K60" s="393">
        <f t="shared" si="23"/>
        <v>3.3462268839298429E-4</v>
      </c>
      <c r="L60" s="393">
        <f t="shared" si="23"/>
        <v>2.5847539619015803E-4</v>
      </c>
      <c r="M60" s="393">
        <f t="shared" si="23"/>
        <v>7.0582314670384781E-4</v>
      </c>
      <c r="N60" s="393">
        <f t="shared" si="23"/>
        <v>5.1375014890196529E-4</v>
      </c>
      <c r="O60" s="394">
        <f t="shared" si="23"/>
        <v>4.9079207433663941E-3</v>
      </c>
    </row>
    <row r="61" spans="1:16" ht="21" customHeight="1">
      <c r="B61" s="376" t="s">
        <v>244</v>
      </c>
      <c r="C61" s="393">
        <f t="shared" ref="C61:O61" si="24">C12/$O$93</f>
        <v>0</v>
      </c>
      <c r="D61" s="393">
        <f t="shared" si="24"/>
        <v>0</v>
      </c>
      <c r="E61" s="393">
        <f t="shared" si="24"/>
        <v>0</v>
      </c>
      <c r="F61" s="393">
        <f t="shared" si="24"/>
        <v>0</v>
      </c>
      <c r="G61" s="393">
        <f t="shared" si="24"/>
        <v>0</v>
      </c>
      <c r="H61" s="393">
        <f t="shared" si="24"/>
        <v>0</v>
      </c>
      <c r="I61" s="393">
        <f t="shared" si="24"/>
        <v>0</v>
      </c>
      <c r="J61" s="393">
        <f t="shared" si="24"/>
        <v>0</v>
      </c>
      <c r="K61" s="393">
        <f t="shared" si="24"/>
        <v>0</v>
      </c>
      <c r="L61" s="393">
        <f t="shared" si="24"/>
        <v>0</v>
      </c>
      <c r="M61" s="393">
        <f t="shared" si="24"/>
        <v>0</v>
      </c>
      <c r="N61" s="393">
        <f t="shared" si="24"/>
        <v>0</v>
      </c>
      <c r="O61" s="394">
        <f t="shared" si="24"/>
        <v>0</v>
      </c>
    </row>
    <row r="62" spans="1:16" ht="21" customHeight="1">
      <c r="B62" s="376" t="s">
        <v>245</v>
      </c>
      <c r="C62" s="393">
        <f t="shared" ref="C62:O62" si="25">C13/$O$93</f>
        <v>1.0557635300261453E-4</v>
      </c>
      <c r="D62" s="393">
        <f t="shared" si="25"/>
        <v>1.7508743105284358E-4</v>
      </c>
      <c r="E62" s="393">
        <f t="shared" si="25"/>
        <v>2.8074331733099413E-4</v>
      </c>
      <c r="F62" s="393">
        <f t="shared" si="25"/>
        <v>1.3207448724818926E-4</v>
      </c>
      <c r="G62" s="393">
        <f t="shared" si="25"/>
        <v>1.7909606566022024E-4</v>
      </c>
      <c r="H62" s="393">
        <f t="shared" si="25"/>
        <v>1.6522964138945587E-4</v>
      </c>
      <c r="I62" s="393">
        <f t="shared" si="25"/>
        <v>2.3703571897889939E-4</v>
      </c>
      <c r="J62" s="393">
        <f t="shared" si="25"/>
        <v>6.6969015591614387E-5</v>
      </c>
      <c r="K62" s="393">
        <f t="shared" si="25"/>
        <v>2.0264347877656339E-4</v>
      </c>
      <c r="L62" s="393">
        <f t="shared" si="25"/>
        <v>1.4034972250476148E-4</v>
      </c>
      <c r="M62" s="393">
        <f t="shared" si="25"/>
        <v>2.2884650553966506E-4</v>
      </c>
      <c r="N62" s="393">
        <f t="shared" si="25"/>
        <v>3.3832043062960351E-4</v>
      </c>
      <c r="O62" s="394">
        <f t="shared" si="25"/>
        <v>2.2519721677054247E-3</v>
      </c>
    </row>
    <row r="63" spans="1:16" ht="24.95" customHeight="1">
      <c r="B63" s="390" t="s">
        <v>246</v>
      </c>
      <c r="C63" s="391">
        <f t="shared" ref="C63:O63" si="26">C14/$O$93</f>
        <v>1.9165312045145023E-2</v>
      </c>
      <c r="D63" s="391">
        <f t="shared" si="26"/>
        <v>1.6745546914358752E-2</v>
      </c>
      <c r="E63" s="391">
        <f t="shared" si="26"/>
        <v>1.8007355542054349E-2</v>
      </c>
      <c r="F63" s="391">
        <f t="shared" si="26"/>
        <v>1.9345504575936114E-2</v>
      </c>
      <c r="G63" s="391">
        <f t="shared" si="26"/>
        <v>2.0175371918283967E-2</v>
      </c>
      <c r="H63" s="391">
        <f t="shared" si="26"/>
        <v>2.0059548103014569E-2</v>
      </c>
      <c r="I63" s="391">
        <f t="shared" si="26"/>
        <v>2.2259359406678995E-2</v>
      </c>
      <c r="J63" s="391">
        <f t="shared" si="26"/>
        <v>1.6612726138140063E-2</v>
      </c>
      <c r="K63" s="391">
        <f t="shared" si="26"/>
        <v>1.8287421830350745E-2</v>
      </c>
      <c r="L63" s="391">
        <f t="shared" si="26"/>
        <v>1.8700239559796304E-2</v>
      </c>
      <c r="M63" s="391">
        <f t="shared" si="26"/>
        <v>1.7450222142959538E-2</v>
      </c>
      <c r="N63" s="391">
        <f t="shared" si="26"/>
        <v>2.7349939152427821E-2</v>
      </c>
      <c r="O63" s="392">
        <f t="shared" si="26"/>
        <v>0.23415854732914623</v>
      </c>
    </row>
    <row r="64" spans="1:16" ht="21" customHeight="1">
      <c r="B64" s="376" t="s">
        <v>247</v>
      </c>
      <c r="C64" s="393">
        <f t="shared" ref="C64:O64" si="27">C15/$O$93</f>
        <v>1.7912241152130019E-2</v>
      </c>
      <c r="D64" s="393">
        <f t="shared" si="27"/>
        <v>1.4672749645344527E-2</v>
      </c>
      <c r="E64" s="393">
        <f t="shared" si="27"/>
        <v>1.5481163019386266E-2</v>
      </c>
      <c r="F64" s="393">
        <f t="shared" si="27"/>
        <v>1.7035871439387083E-2</v>
      </c>
      <c r="G64" s="393">
        <f t="shared" si="27"/>
        <v>1.743683598373854E-2</v>
      </c>
      <c r="H64" s="393">
        <f t="shared" si="27"/>
        <v>1.7555301633036448E-2</v>
      </c>
      <c r="I64" s="393">
        <f t="shared" si="27"/>
        <v>1.9542110870846102E-2</v>
      </c>
      <c r="J64" s="393">
        <f t="shared" si="27"/>
        <v>1.4546392470061743E-2</v>
      </c>
      <c r="K64" s="393">
        <f t="shared" si="27"/>
        <v>1.5208898447089033E-2</v>
      </c>
      <c r="L64" s="393">
        <f t="shared" si="27"/>
        <v>1.6151522484516758E-2</v>
      </c>
      <c r="M64" s="393">
        <f t="shared" si="27"/>
        <v>1.4990354321292894E-2</v>
      </c>
      <c r="N64" s="393">
        <f t="shared" si="27"/>
        <v>2.3309879964856572E-2</v>
      </c>
      <c r="O64" s="394">
        <f t="shared" si="27"/>
        <v>0.20384332143168601</v>
      </c>
    </row>
    <row r="65" spans="2:15" ht="15.75">
      <c r="B65" s="371" t="s">
        <v>321</v>
      </c>
      <c r="C65" s="393">
        <f t="shared" ref="C65:O65" si="28">C16/$O$93</f>
        <v>9.9633929988983804E-3</v>
      </c>
      <c r="D65" s="393">
        <f t="shared" si="28"/>
        <v>1.1173666830252612E-2</v>
      </c>
      <c r="E65" s="393">
        <f t="shared" si="28"/>
        <v>1.2035392344199052E-2</v>
      </c>
      <c r="F65" s="393">
        <f t="shared" si="28"/>
        <v>1.225005104041515E-2</v>
      </c>
      <c r="G65" s="393">
        <f t="shared" si="28"/>
        <v>1.2436204650071846E-2</v>
      </c>
      <c r="H65" s="393">
        <f t="shared" si="28"/>
        <v>1.1853404182118631E-2</v>
      </c>
      <c r="I65" s="393">
        <f t="shared" si="28"/>
        <v>1.1535803795314836E-2</v>
      </c>
      <c r="J65" s="393">
        <f t="shared" si="28"/>
        <v>1.1072631789225641E-2</v>
      </c>
      <c r="K65" s="393">
        <f t="shared" si="28"/>
        <v>1.1555106673858619E-2</v>
      </c>
      <c r="L65" s="393">
        <f t="shared" si="28"/>
        <v>1.1267992144781351E-2</v>
      </c>
      <c r="M65" s="393">
        <f t="shared" si="28"/>
        <v>1.0606959757963908E-2</v>
      </c>
      <c r="N65" s="393">
        <f t="shared" si="28"/>
        <v>1.8702246821753678E-2</v>
      </c>
      <c r="O65" s="394">
        <f t="shared" si="28"/>
        <v>0.14445285302885372</v>
      </c>
    </row>
    <row r="66" spans="2:15" ht="15.75">
      <c r="B66" s="395" t="s">
        <v>322</v>
      </c>
      <c r="C66" s="393">
        <f t="shared" ref="C66:O66" si="29">C17/$O$93</f>
        <v>7.4637230211718102E-3</v>
      </c>
      <c r="D66" s="393">
        <f t="shared" si="29"/>
        <v>7.6210126213508344E-3</v>
      </c>
      <c r="E66" s="393">
        <f t="shared" si="29"/>
        <v>7.8592710306426596E-3</v>
      </c>
      <c r="F66" s="393">
        <f t="shared" si="29"/>
        <v>8.154920988190666E-3</v>
      </c>
      <c r="G66" s="393">
        <f t="shared" si="29"/>
        <v>8.1204061552083255E-3</v>
      </c>
      <c r="H66" s="393">
        <f t="shared" si="29"/>
        <v>8.4917888176863944E-3</v>
      </c>
      <c r="I66" s="393">
        <f t="shared" si="29"/>
        <v>7.7323043346364737E-3</v>
      </c>
      <c r="J66" s="393">
        <f t="shared" si="29"/>
        <v>7.6646153594830497E-3</v>
      </c>
      <c r="K66" s="393">
        <f t="shared" si="29"/>
        <v>7.5925415699408319E-3</v>
      </c>
      <c r="L66" s="393">
        <f t="shared" si="29"/>
        <v>7.5726683093205807E-3</v>
      </c>
      <c r="M66" s="393">
        <f t="shared" si="29"/>
        <v>7.5024786541672914E-3</v>
      </c>
      <c r="N66" s="393">
        <f t="shared" si="29"/>
        <v>1.3397056161096137E-2</v>
      </c>
      <c r="O66" s="394">
        <f t="shared" si="29"/>
        <v>9.9172787022895059E-2</v>
      </c>
    </row>
    <row r="67" spans="2:15" ht="15.75">
      <c r="B67" s="395" t="s">
        <v>323</v>
      </c>
      <c r="C67" s="393">
        <f t="shared" ref="C67:O67" si="30">C18/$O$93</f>
        <v>2.4996699777265698E-3</v>
      </c>
      <c r="D67" s="393">
        <f t="shared" si="30"/>
        <v>3.5526542089017771E-3</v>
      </c>
      <c r="E67" s="393">
        <f t="shared" si="30"/>
        <v>4.1761213135563932E-3</v>
      </c>
      <c r="F67" s="393">
        <f t="shared" si="30"/>
        <v>4.0951300522244849E-3</v>
      </c>
      <c r="G67" s="393">
        <f t="shared" si="30"/>
        <v>4.3157984948635217E-3</v>
      </c>
      <c r="H67" s="393">
        <f t="shared" si="30"/>
        <v>3.3616153644322353E-3</v>
      </c>
      <c r="I67" s="393">
        <f t="shared" si="30"/>
        <v>3.803499460678361E-3</v>
      </c>
      <c r="J67" s="393">
        <f t="shared" si="30"/>
        <v>3.4080164297425912E-3</v>
      </c>
      <c r="K67" s="393">
        <f t="shared" si="30"/>
        <v>3.9625651039177853E-3</v>
      </c>
      <c r="L67" s="393">
        <f t="shared" si="30"/>
        <v>3.6953238354607691E-3</v>
      </c>
      <c r="M67" s="393">
        <f t="shared" si="30"/>
        <v>3.1044811037966159E-3</v>
      </c>
      <c r="N67" s="393">
        <f t="shared" si="30"/>
        <v>5.3051906606575404E-3</v>
      </c>
      <c r="O67" s="394">
        <f t="shared" si="30"/>
        <v>4.5280066005958651E-2</v>
      </c>
    </row>
    <row r="68" spans="2:15" ht="15.75">
      <c r="B68" s="371" t="s">
        <v>352</v>
      </c>
      <c r="C68" s="393">
        <f t="shared" ref="C68:O68" si="31">C19/$O$93</f>
        <v>5.0819056370700185E-3</v>
      </c>
      <c r="D68" s="393">
        <f t="shared" si="31"/>
        <v>1.0927566088580027E-3</v>
      </c>
      <c r="E68" s="393">
        <f t="shared" si="31"/>
        <v>1.0322831697260546E-3</v>
      </c>
      <c r="F68" s="393">
        <f t="shared" si="31"/>
        <v>1.8974215312241875E-3</v>
      </c>
      <c r="G68" s="393">
        <f t="shared" si="31"/>
        <v>1.7353561295558027E-3</v>
      </c>
      <c r="H68" s="393">
        <f t="shared" si="31"/>
        <v>2.6784886079330187E-3</v>
      </c>
      <c r="I68" s="393">
        <f t="shared" si="31"/>
        <v>5.1087039363877148E-3</v>
      </c>
      <c r="J68" s="393">
        <f t="shared" si="31"/>
        <v>1.1788289457740854E-3</v>
      </c>
      <c r="K68" s="393">
        <f t="shared" si="31"/>
        <v>1.1832112487968379E-3</v>
      </c>
      <c r="L68" s="393">
        <f t="shared" si="31"/>
        <v>2.1426464086040588E-3</v>
      </c>
      <c r="M68" s="393">
        <f t="shared" si="31"/>
        <v>1.8145823914252947E-3</v>
      </c>
      <c r="N68" s="393">
        <f t="shared" si="31"/>
        <v>2.3506508526237465E-3</v>
      </c>
      <c r="O68" s="394">
        <f t="shared" si="31"/>
        <v>2.7296835467978824E-2</v>
      </c>
    </row>
    <row r="69" spans="2:15" ht="15.75">
      <c r="B69" s="371" t="s">
        <v>325</v>
      </c>
      <c r="C69" s="393">
        <f t="shared" ref="C69:O69" si="32">C20/$O$93</f>
        <v>2.8669425161616221E-3</v>
      </c>
      <c r="D69" s="393">
        <f t="shared" si="32"/>
        <v>2.4063262062339144E-3</v>
      </c>
      <c r="E69" s="393">
        <f t="shared" si="32"/>
        <v>2.413487505461161E-3</v>
      </c>
      <c r="F69" s="393">
        <f t="shared" si="32"/>
        <v>2.8883988677477481E-3</v>
      </c>
      <c r="G69" s="393">
        <f t="shared" si="32"/>
        <v>3.2652752041108881E-3</v>
      </c>
      <c r="H69" s="393">
        <f t="shared" si="32"/>
        <v>3.023408842984797E-3</v>
      </c>
      <c r="I69" s="393">
        <f t="shared" si="32"/>
        <v>2.8976031391435533E-3</v>
      </c>
      <c r="J69" s="393">
        <f t="shared" si="32"/>
        <v>2.2949317350620178E-3</v>
      </c>
      <c r="K69" s="393">
        <f t="shared" si="32"/>
        <v>2.4705805244335751E-3</v>
      </c>
      <c r="L69" s="393">
        <f t="shared" si="32"/>
        <v>2.7408839311313482E-3</v>
      </c>
      <c r="M69" s="393">
        <f t="shared" si="32"/>
        <v>2.568812171903692E-3</v>
      </c>
      <c r="N69" s="393">
        <f t="shared" si="32"/>
        <v>2.2569822904791484E-3</v>
      </c>
      <c r="O69" s="394">
        <f t="shared" si="32"/>
        <v>3.2093632934853476E-2</v>
      </c>
    </row>
    <row r="70" spans="2:15" ht="21" customHeight="1">
      <c r="B70" s="376" t="s">
        <v>259</v>
      </c>
      <c r="C70" s="393">
        <f t="shared" ref="C70:O70" si="33">C21/$O$93</f>
        <v>1.2530708930150042E-3</v>
      </c>
      <c r="D70" s="393">
        <f t="shared" si="33"/>
        <v>2.0727972690142262E-3</v>
      </c>
      <c r="E70" s="393">
        <f t="shared" si="33"/>
        <v>2.5261925226680842E-3</v>
      </c>
      <c r="F70" s="393">
        <f t="shared" si="33"/>
        <v>2.3101299801686877E-3</v>
      </c>
      <c r="G70" s="393">
        <f t="shared" si="33"/>
        <v>2.7385359345454261E-3</v>
      </c>
      <c r="H70" s="393">
        <f t="shared" si="33"/>
        <v>2.5138153219909001E-3</v>
      </c>
      <c r="I70" s="393">
        <f t="shared" si="33"/>
        <v>2.7172485358328952E-3</v>
      </c>
      <c r="J70" s="393">
        <f t="shared" si="33"/>
        <v>2.0663336680783197E-3</v>
      </c>
      <c r="K70" s="393">
        <f t="shared" si="33"/>
        <v>3.0785233832617124E-3</v>
      </c>
      <c r="L70" s="393">
        <f t="shared" si="33"/>
        <v>2.5487170752795433E-3</v>
      </c>
      <c r="M70" s="393">
        <f t="shared" si="33"/>
        <v>2.4598678216666441E-3</v>
      </c>
      <c r="N70" s="393">
        <f t="shared" si="33"/>
        <v>4.0400591875712506E-3</v>
      </c>
      <c r="O70" s="394">
        <f t="shared" si="33"/>
        <v>3.032529159309269E-2</v>
      </c>
    </row>
    <row r="71" spans="2:15" ht="15.75">
      <c r="B71" s="371" t="s">
        <v>260</v>
      </c>
      <c r="C71" s="393">
        <f t="shared" ref="C71:O71" si="34">C22/$O$93</f>
        <v>1.239695452282253E-3</v>
      </c>
      <c r="D71" s="393">
        <f t="shared" si="34"/>
        <v>1.7574550918712324E-3</v>
      </c>
      <c r="E71" s="393">
        <f t="shared" si="34"/>
        <v>2.2279963189428898E-3</v>
      </c>
      <c r="F71" s="393">
        <f t="shared" si="34"/>
        <v>2.1219852879904352E-3</v>
      </c>
      <c r="G71" s="393">
        <f t="shared" si="34"/>
        <v>2.3616471045820845E-3</v>
      </c>
      <c r="H71" s="393">
        <f t="shared" si="34"/>
        <v>2.4082319804089388E-3</v>
      </c>
      <c r="I71" s="393">
        <f t="shared" si="34"/>
        <v>2.4891658325241145E-3</v>
      </c>
      <c r="J71" s="393">
        <f t="shared" si="34"/>
        <v>1.8094859982020835E-3</v>
      </c>
      <c r="K71" s="393">
        <f t="shared" si="34"/>
        <v>2.8238192271476015E-3</v>
      </c>
      <c r="L71" s="393">
        <f t="shared" si="34"/>
        <v>2.282921218167405E-3</v>
      </c>
      <c r="M71" s="393">
        <f t="shared" si="34"/>
        <v>2.331008996942603E-3</v>
      </c>
      <c r="N71" s="393">
        <f t="shared" si="34"/>
        <v>3.9109308153043908E-3</v>
      </c>
      <c r="O71" s="394">
        <f t="shared" si="34"/>
        <v>2.7764343324366031E-2</v>
      </c>
    </row>
    <row r="72" spans="2:15" ht="15.75">
      <c r="B72" s="371" t="s">
        <v>326</v>
      </c>
      <c r="C72" s="393">
        <f t="shared" ref="C72:O72" si="35">C23/$O$93</f>
        <v>1.3375440732751266E-5</v>
      </c>
      <c r="D72" s="393">
        <f t="shared" si="35"/>
        <v>3.1534217714299366E-4</v>
      </c>
      <c r="E72" s="393">
        <f t="shared" si="35"/>
        <v>2.981962037251944E-4</v>
      </c>
      <c r="F72" s="393">
        <f t="shared" si="35"/>
        <v>1.881446921782523E-4</v>
      </c>
      <c r="G72" s="393">
        <f t="shared" si="35"/>
        <v>3.768888299633419E-4</v>
      </c>
      <c r="H72" s="393">
        <f t="shared" si="35"/>
        <v>1.0558334158196178E-4</v>
      </c>
      <c r="I72" s="393">
        <f t="shared" si="35"/>
        <v>2.2808270330878085E-4</v>
      </c>
      <c r="J72" s="393">
        <f t="shared" si="35"/>
        <v>2.5684766987623645E-4</v>
      </c>
      <c r="K72" s="393">
        <f t="shared" si="35"/>
        <v>2.5470415611411092E-4</v>
      </c>
      <c r="L72" s="393">
        <f t="shared" si="35"/>
        <v>2.6579585711213814E-4</v>
      </c>
      <c r="M72" s="393">
        <f t="shared" si="35"/>
        <v>1.2885882472404075E-4</v>
      </c>
      <c r="N72" s="393">
        <f t="shared" si="35"/>
        <v>1.2912837226685962E-4</v>
      </c>
      <c r="O72" s="394">
        <f t="shared" si="35"/>
        <v>2.5609482687266624E-3</v>
      </c>
    </row>
    <row r="73" spans="2:15" ht="21" customHeight="1">
      <c r="B73" s="376" t="s">
        <v>327</v>
      </c>
      <c r="C73" s="393">
        <f t="shared" ref="C73:O73" si="36">C24/$O$93</f>
        <v>0</v>
      </c>
      <c r="D73" s="393">
        <f t="shared" si="36"/>
        <v>0</v>
      </c>
      <c r="E73" s="393">
        <f t="shared" si="36"/>
        <v>0</v>
      </c>
      <c r="F73" s="393">
        <f t="shared" si="36"/>
        <v>-4.9684361965744865E-7</v>
      </c>
      <c r="G73" s="393">
        <f t="shared" si="36"/>
        <v>0</v>
      </c>
      <c r="H73" s="393">
        <f t="shared" si="36"/>
        <v>-9.5688520127791161E-6</v>
      </c>
      <c r="I73" s="393">
        <f t="shared" si="36"/>
        <v>0</v>
      </c>
      <c r="J73" s="393">
        <f t="shared" si="36"/>
        <v>0</v>
      </c>
      <c r="K73" s="393">
        <f t="shared" si="36"/>
        <v>0</v>
      </c>
      <c r="L73" s="393">
        <f t="shared" si="36"/>
        <v>0</v>
      </c>
      <c r="M73" s="393">
        <f t="shared" si="36"/>
        <v>0</v>
      </c>
      <c r="N73" s="393">
        <f t="shared" si="36"/>
        <v>0</v>
      </c>
      <c r="O73" s="394">
        <f t="shared" si="36"/>
        <v>-1.0065695632436564E-5</v>
      </c>
    </row>
    <row r="74" spans="2:15" ht="24.95" customHeight="1">
      <c r="B74" s="390" t="s">
        <v>269</v>
      </c>
      <c r="C74" s="391">
        <f t="shared" ref="C74:O74" si="37">C25/$O$93</f>
        <v>9.6365061654942385E-4</v>
      </c>
      <c r="D74" s="391">
        <f t="shared" si="37"/>
        <v>3.8608201899261173E-4</v>
      </c>
      <c r="E74" s="391">
        <f t="shared" si="37"/>
        <v>1.7256563064391064E-3</v>
      </c>
      <c r="F74" s="391">
        <f t="shared" si="37"/>
        <v>1.1717267449809936E-2</v>
      </c>
      <c r="G74" s="391">
        <f t="shared" si="37"/>
        <v>1.2315452303941485E-3</v>
      </c>
      <c r="H74" s="391">
        <f t="shared" si="37"/>
        <v>-1.2579961020608625E-3</v>
      </c>
      <c r="I74" s="391">
        <f t="shared" si="37"/>
        <v>-2.7168298856555199E-3</v>
      </c>
      <c r="J74" s="391">
        <f t="shared" si="37"/>
        <v>7.0426179857503658E-4</v>
      </c>
      <c r="K74" s="391">
        <f t="shared" si="37"/>
        <v>4.2621713098588929E-4</v>
      </c>
      <c r="L74" s="391">
        <f t="shared" si="37"/>
        <v>3.4410767571359767E-4</v>
      </c>
      <c r="M74" s="391">
        <f t="shared" si="37"/>
        <v>1.9668077010404042E-3</v>
      </c>
      <c r="N74" s="391">
        <f t="shared" si="37"/>
        <v>-3.0447162657762112E-3</v>
      </c>
      <c r="O74" s="392">
        <f t="shared" si="37"/>
        <v>1.2446053675007561E-2</v>
      </c>
    </row>
    <row r="75" spans="2:15" ht="24.95" customHeight="1">
      <c r="B75" s="396" t="s">
        <v>735</v>
      </c>
      <c r="C75" s="391"/>
      <c r="D75" s="391"/>
      <c r="E75" s="391"/>
      <c r="F75" s="391"/>
      <c r="G75" s="391"/>
      <c r="H75" s="391"/>
      <c r="I75" s="391"/>
      <c r="J75" s="391"/>
      <c r="K75" s="391"/>
      <c r="L75" s="391"/>
      <c r="M75" s="391"/>
      <c r="N75" s="391"/>
      <c r="O75" s="392"/>
    </row>
    <row r="76" spans="2:15" ht="21" customHeight="1">
      <c r="B76" s="399" t="s">
        <v>737</v>
      </c>
      <c r="C76" s="391">
        <f t="shared" ref="C76:O76" si="38">C27/$O$93</f>
        <v>4.8980617136070524E-3</v>
      </c>
      <c r="D76" s="391">
        <f t="shared" si="38"/>
        <v>-4.1887121011076578E-4</v>
      </c>
      <c r="E76" s="391">
        <f t="shared" si="38"/>
        <v>5.1249027082807231E-4</v>
      </c>
      <c r="F76" s="391">
        <f t="shared" si="38"/>
        <v>1.1437130331733282E-2</v>
      </c>
      <c r="G76" s="391">
        <f t="shared" si="38"/>
        <v>4.074614910647445E-4</v>
      </c>
      <c r="H76" s="391">
        <f t="shared" si="38"/>
        <v>-9.1852432271650683E-4</v>
      </c>
      <c r="I76" s="391">
        <f t="shared" si="38"/>
        <v>-8.8338766121800704E-5</v>
      </c>
      <c r="J76" s="391">
        <f t="shared" si="38"/>
        <v>-1.1627390813758393E-4</v>
      </c>
      <c r="K76" s="391">
        <f t="shared" si="38"/>
        <v>-1.2664515247024211E-3</v>
      </c>
      <c r="L76" s="391">
        <f t="shared" si="38"/>
        <v>7.8386731542874215E-5</v>
      </c>
      <c r="M76" s="391">
        <f t="shared" si="38"/>
        <v>1.5503687763387182E-3</v>
      </c>
      <c r="N76" s="391">
        <f t="shared" si="38"/>
        <v>-4.3958041700941112E-3</v>
      </c>
      <c r="O76" s="392">
        <f t="shared" si="38"/>
        <v>1.1679635413231557E-2</v>
      </c>
    </row>
    <row r="77" spans="2:15" ht="21" customHeight="1">
      <c r="B77" s="399" t="s">
        <v>736</v>
      </c>
      <c r="C77" s="391">
        <f t="shared" ref="C77:O77" si="39">C28/$O$93</f>
        <v>3.2979494773640581E-3</v>
      </c>
      <c r="D77" s="391">
        <f t="shared" si="39"/>
        <v>-2.0285637019531568E-3</v>
      </c>
      <c r="E77" s="391">
        <f t="shared" si="39"/>
        <v>-1.1032253963892615E-3</v>
      </c>
      <c r="F77" s="391">
        <f t="shared" si="39"/>
        <v>9.8220435508999081E-3</v>
      </c>
      <c r="G77" s="391">
        <f t="shared" si="39"/>
        <v>-1.2209209045417515E-3</v>
      </c>
      <c r="H77" s="391">
        <f t="shared" si="39"/>
        <v>-2.5536354863533667E-3</v>
      </c>
      <c r="I77" s="391">
        <f t="shared" si="39"/>
        <v>-1.7447364081802485E-3</v>
      </c>
      <c r="J77" s="391">
        <f t="shared" si="39"/>
        <v>-1.7676435203610274E-3</v>
      </c>
      <c r="K77" s="391">
        <f t="shared" si="39"/>
        <v>-2.8877703916480621E-3</v>
      </c>
      <c r="L77" s="391">
        <f t="shared" si="39"/>
        <v>-1.5822653553885675E-3</v>
      </c>
      <c r="M77" s="391">
        <f t="shared" si="39"/>
        <v>-3.057056443515724E-4</v>
      </c>
      <c r="N77" s="391">
        <f t="shared" si="39"/>
        <v>-6.9475402313342038E-3</v>
      </c>
      <c r="O77" s="392">
        <f t="shared" si="39"/>
        <v>-9.0220140122372512E-3</v>
      </c>
    </row>
    <row r="78" spans="2:15" ht="24.95" customHeight="1">
      <c r="B78" s="397" t="s">
        <v>328</v>
      </c>
      <c r="C78" s="359"/>
      <c r="D78" s="359"/>
      <c r="E78" s="359"/>
      <c r="F78" s="359"/>
      <c r="G78" s="359"/>
      <c r="H78" s="359"/>
      <c r="I78" s="359"/>
      <c r="J78" s="359"/>
      <c r="K78" s="359"/>
      <c r="L78" s="359"/>
      <c r="M78" s="359"/>
      <c r="N78" s="359"/>
      <c r="O78" s="398"/>
    </row>
    <row r="79" spans="2:15" ht="21" customHeight="1">
      <c r="B79" s="399" t="s">
        <v>329</v>
      </c>
      <c r="C79" s="391">
        <f t="shared" ref="C79:O92" si="40">C30/$O$93</f>
        <v>-1.8384392346296595E-4</v>
      </c>
      <c r="D79" s="391">
        <f t="shared" si="40"/>
        <v>-1.5116278189687686E-3</v>
      </c>
      <c r="E79" s="391">
        <f t="shared" si="40"/>
        <v>-5.1979289889798213E-4</v>
      </c>
      <c r="F79" s="391">
        <f t="shared" si="40"/>
        <v>9.5397088005090939E-3</v>
      </c>
      <c r="G79" s="391">
        <f t="shared" si="40"/>
        <v>-1.3278946384910582E-3</v>
      </c>
      <c r="H79" s="391">
        <f t="shared" si="40"/>
        <v>-3.5970129306495259E-3</v>
      </c>
      <c r="I79" s="391">
        <f t="shared" si="40"/>
        <v>-5.1970427025095156E-3</v>
      </c>
      <c r="J79" s="391">
        <f t="shared" si="40"/>
        <v>-1.2951028539116693E-3</v>
      </c>
      <c r="K79" s="391">
        <f t="shared" si="40"/>
        <v>-2.449662773499259E-3</v>
      </c>
      <c r="L79" s="391">
        <f t="shared" si="40"/>
        <v>-2.0642596770611846E-3</v>
      </c>
      <c r="M79" s="391">
        <f t="shared" si="40"/>
        <v>-2.6421361508657636E-4</v>
      </c>
      <c r="N79" s="391">
        <f t="shared" si="40"/>
        <v>-6.7464550227178573E-3</v>
      </c>
      <c r="O79" s="392">
        <f t="shared" si="40"/>
        <v>-1.5617200054747269E-2</v>
      </c>
    </row>
    <row r="80" spans="2:15" ht="21" customHeight="1">
      <c r="B80" s="399" t="s">
        <v>330</v>
      </c>
      <c r="C80" s="391">
        <f t="shared" si="40"/>
        <v>-2.8942027646558049E-4</v>
      </c>
      <c r="D80" s="391">
        <f t="shared" si="40"/>
        <v>-1.686715250021612E-3</v>
      </c>
      <c r="E80" s="391">
        <f t="shared" si="40"/>
        <v>-8.0053621622897626E-4</v>
      </c>
      <c r="F80" s="391">
        <f t="shared" si="40"/>
        <v>9.4076343132609049E-3</v>
      </c>
      <c r="G80" s="391">
        <f t="shared" si="40"/>
        <v>-1.5069907041512785E-3</v>
      </c>
      <c r="H80" s="391">
        <f t="shared" si="40"/>
        <v>-3.762242572038982E-3</v>
      </c>
      <c r="I80" s="391">
        <f t="shared" si="40"/>
        <v>-5.4340784214884155E-3</v>
      </c>
      <c r="J80" s="391">
        <f t="shared" si="40"/>
        <v>-1.3620718695032837E-3</v>
      </c>
      <c r="K80" s="391">
        <f t="shared" si="40"/>
        <v>-2.6523062522758223E-3</v>
      </c>
      <c r="L80" s="391">
        <f t="shared" si="40"/>
        <v>-2.204609399565946E-3</v>
      </c>
      <c r="M80" s="391">
        <f t="shared" si="40"/>
        <v>-4.9306012062624144E-4</v>
      </c>
      <c r="N80" s="391">
        <f t="shared" si="40"/>
        <v>-7.0847754533474609E-3</v>
      </c>
      <c r="O80" s="392">
        <f t="shared" si="40"/>
        <v>-1.7869172222452694E-2</v>
      </c>
    </row>
    <row r="81" spans="2:16" ht="21" customHeight="1">
      <c r="B81" s="399" t="s">
        <v>355</v>
      </c>
      <c r="C81" s="391">
        <f t="shared" si="40"/>
        <v>-1.7839561597059602E-3</v>
      </c>
      <c r="D81" s="391">
        <f t="shared" si="40"/>
        <v>-3.1213203108111593E-3</v>
      </c>
      <c r="E81" s="391">
        <f t="shared" si="40"/>
        <v>-2.135508566115316E-3</v>
      </c>
      <c r="F81" s="391">
        <f t="shared" si="40"/>
        <v>7.9246220196757221E-3</v>
      </c>
      <c r="G81" s="391">
        <f t="shared" si="40"/>
        <v>-2.9562770340975544E-3</v>
      </c>
      <c r="H81" s="391">
        <f t="shared" si="40"/>
        <v>-5.2321240942863854E-3</v>
      </c>
      <c r="I81" s="391">
        <f t="shared" si="40"/>
        <v>-6.8534403445679641E-3</v>
      </c>
      <c r="J81" s="391">
        <f t="shared" si="40"/>
        <v>-2.946472466135113E-3</v>
      </c>
      <c r="K81" s="391">
        <f t="shared" si="40"/>
        <v>-4.0709816404448998E-3</v>
      </c>
      <c r="L81" s="391">
        <f t="shared" si="40"/>
        <v>-3.7249117639926261E-3</v>
      </c>
      <c r="M81" s="391">
        <f t="shared" si="40"/>
        <v>-2.1202880357768668E-3</v>
      </c>
      <c r="N81" s="391">
        <f t="shared" si="40"/>
        <v>-9.2981910839579508E-3</v>
      </c>
      <c r="O81" s="392">
        <f t="shared" si="40"/>
        <v>-3.6318849480216076E-2</v>
      </c>
    </row>
    <row r="82" spans="2:16" ht="24.95" customHeight="1">
      <c r="B82" s="390" t="s">
        <v>332</v>
      </c>
      <c r="C82" s="391">
        <f t="shared" si="40"/>
        <v>-5.1851798001897756E-4</v>
      </c>
      <c r="D82" s="391">
        <f t="shared" si="40"/>
        <v>-8.412474665333233E-4</v>
      </c>
      <c r="E82" s="391">
        <f t="shared" si="40"/>
        <v>-4.8807258650820202E-4</v>
      </c>
      <c r="F82" s="391">
        <f t="shared" si="40"/>
        <v>8.8503344961055112E-5</v>
      </c>
      <c r="G82" s="391">
        <f t="shared" si="40"/>
        <v>-8.2210131904102016E-4</v>
      </c>
      <c r="H82" s="391">
        <f t="shared" si="40"/>
        <v>-4.1231081813310211E-4</v>
      </c>
      <c r="I82" s="391">
        <f t="shared" si="40"/>
        <v>1.7877900853477053E-3</v>
      </c>
      <c r="J82" s="391">
        <f t="shared" si="40"/>
        <v>5.6468834306671483E-4</v>
      </c>
      <c r="K82" s="391">
        <f t="shared" si="40"/>
        <v>-2.2198261772215033E-4</v>
      </c>
      <c r="L82" s="391">
        <f t="shared" si="40"/>
        <v>1.941118778543099E-4</v>
      </c>
      <c r="M82" s="391">
        <f t="shared" si="40"/>
        <v>-4.7008966884885562E-4</v>
      </c>
      <c r="N82" s="391">
        <f t="shared" si="40"/>
        <v>5.7833820884161953E-4</v>
      </c>
      <c r="O82" s="392">
        <f t="shared" si="40"/>
        <v>-5.6089059673422614E-4</v>
      </c>
    </row>
    <row r="83" spans="2:16" ht="15.75">
      <c r="B83" s="376" t="s">
        <v>276</v>
      </c>
      <c r="C83" s="393">
        <f t="shared" si="40"/>
        <v>1.1146101797745906E-4</v>
      </c>
      <c r="D83" s="393">
        <f t="shared" si="40"/>
        <v>4.4342395290772687E-4</v>
      </c>
      <c r="E83" s="393">
        <f t="shared" si="40"/>
        <v>1.7759629135976081E-4</v>
      </c>
      <c r="F83" s="393">
        <f t="shared" si="40"/>
        <v>3.9594219659837938E-4</v>
      </c>
      <c r="G83" s="393">
        <f t="shared" si="40"/>
        <v>2.1305276462737816E-4</v>
      </c>
      <c r="H83" s="393">
        <f t="shared" si="40"/>
        <v>1.0890826704564847E-3</v>
      </c>
      <c r="I83" s="393">
        <f t="shared" si="40"/>
        <v>2.4854604573551595E-3</v>
      </c>
      <c r="J83" s="393">
        <f t="shared" si="40"/>
        <v>1.9193660637488138E-3</v>
      </c>
      <c r="K83" s="393">
        <f t="shared" si="40"/>
        <v>4.063731595461092E-3</v>
      </c>
      <c r="L83" s="393">
        <f t="shared" si="40"/>
        <v>5.6157444842274838E-4</v>
      </c>
      <c r="M83" s="393">
        <f t="shared" si="40"/>
        <v>6.5326811612134695E-4</v>
      </c>
      <c r="N83" s="393">
        <f t="shared" si="40"/>
        <v>2.0598080943791002E-3</v>
      </c>
      <c r="O83" s="394">
        <f t="shared" si="40"/>
        <v>1.4173767669415449E-2</v>
      </c>
      <c r="P83" s="55"/>
    </row>
    <row r="84" spans="2:16" ht="15.75">
      <c r="B84" s="376" t="s">
        <v>277</v>
      </c>
      <c r="C84" s="393">
        <f t="shared" si="40"/>
        <v>-6.2997899799643658E-4</v>
      </c>
      <c r="D84" s="393">
        <f t="shared" si="40"/>
        <v>-1.2846714194410501E-3</v>
      </c>
      <c r="E84" s="393">
        <f t="shared" si="40"/>
        <v>-6.656688778679628E-4</v>
      </c>
      <c r="F84" s="393">
        <f t="shared" si="40"/>
        <v>-3.0743885163732429E-4</v>
      </c>
      <c r="G84" s="393">
        <f t="shared" si="40"/>
        <v>-1.0351540836683983E-3</v>
      </c>
      <c r="H84" s="393">
        <f t="shared" si="40"/>
        <v>-1.5013934885895869E-3</v>
      </c>
      <c r="I84" s="393">
        <f t="shared" si="40"/>
        <v>-6.9767037200745452E-4</v>
      </c>
      <c r="J84" s="393">
        <f t="shared" si="40"/>
        <v>-1.3546777206820989E-3</v>
      </c>
      <c r="K84" s="393">
        <f t="shared" si="40"/>
        <v>-4.2857142131832423E-3</v>
      </c>
      <c r="L84" s="393">
        <f t="shared" si="40"/>
        <v>-3.6746257056843851E-4</v>
      </c>
      <c r="M84" s="393">
        <f t="shared" si="40"/>
        <v>-1.1233577849702025E-3</v>
      </c>
      <c r="N84" s="393">
        <f t="shared" si="40"/>
        <v>-1.4814698855374806E-3</v>
      </c>
      <c r="O84" s="394">
        <f t="shared" si="40"/>
        <v>-1.4734658266149676E-2</v>
      </c>
      <c r="P84" s="55"/>
    </row>
    <row r="85" spans="2:16" ht="24.95" customHeight="1">
      <c r="B85" s="390" t="s">
        <v>333</v>
      </c>
      <c r="C85" s="391">
        <f t="shared" si="40"/>
        <v>7.0236190348194354E-4</v>
      </c>
      <c r="D85" s="391">
        <f t="shared" si="40"/>
        <v>2.352875285502092E-3</v>
      </c>
      <c r="E85" s="391">
        <f t="shared" si="40"/>
        <v>1.0078654854061841E-3</v>
      </c>
      <c r="F85" s="391">
        <f t="shared" si="40"/>
        <v>-9.6282121454701487E-3</v>
      </c>
      <c r="G85" s="391">
        <f t="shared" si="40"/>
        <v>2.1499959575320784E-3</v>
      </c>
      <c r="H85" s="391">
        <f t="shared" si="40"/>
        <v>4.0093237487826266E-3</v>
      </c>
      <c r="I85" s="391">
        <f t="shared" si="40"/>
        <v>3.4092526171618123E-3</v>
      </c>
      <c r="J85" s="391">
        <f t="shared" si="40"/>
        <v>7.3041451084495475E-4</v>
      </c>
      <c r="K85" s="391">
        <f t="shared" si="40"/>
        <v>2.6716453912214093E-3</v>
      </c>
      <c r="L85" s="391">
        <f t="shared" si="40"/>
        <v>1.8701477992068745E-3</v>
      </c>
      <c r="M85" s="391">
        <f t="shared" si="40"/>
        <v>7.3430328393543165E-4</v>
      </c>
      <c r="N85" s="391">
        <f t="shared" si="40"/>
        <v>6.1681168138762385E-3</v>
      </c>
      <c r="O85" s="392">
        <f t="shared" si="40"/>
        <v>1.6178090651481496E-2</v>
      </c>
    </row>
    <row r="86" spans="2:16" ht="15.75">
      <c r="B86" s="376" t="s">
        <v>279</v>
      </c>
      <c r="C86" s="393">
        <f t="shared" si="40"/>
        <v>1.2053806087829121E-3</v>
      </c>
      <c r="D86" s="393">
        <f t="shared" si="40"/>
        <v>-1.8520161923420871E-3</v>
      </c>
      <c r="E86" s="393">
        <f t="shared" si="40"/>
        <v>2.7258872679859916E-4</v>
      </c>
      <c r="F86" s="393">
        <f t="shared" si="40"/>
        <v>-1.0214077507526163E-3</v>
      </c>
      <c r="G86" s="393">
        <f t="shared" si="40"/>
        <v>-4.5862719577067215E-3</v>
      </c>
      <c r="H86" s="393">
        <f t="shared" si="40"/>
        <v>1.5216159575121681E-3</v>
      </c>
      <c r="I86" s="393">
        <f t="shared" si="40"/>
        <v>6.1446593259562141E-4</v>
      </c>
      <c r="J86" s="393">
        <f t="shared" si="40"/>
        <v>6.2423629077951247E-4</v>
      </c>
      <c r="K86" s="393">
        <f t="shared" si="40"/>
        <v>5.6113428312023431E-4</v>
      </c>
      <c r="L86" s="393">
        <f t="shared" si="40"/>
        <v>3.6192563946780983E-3</v>
      </c>
      <c r="M86" s="393">
        <f t="shared" si="40"/>
        <v>-1.0912508789055833E-3</v>
      </c>
      <c r="N86" s="393">
        <f t="shared" si="40"/>
        <v>1.1455638307313189E-3</v>
      </c>
      <c r="O86" s="394">
        <f t="shared" si="40"/>
        <v>1.0132952452914564E-3</v>
      </c>
    </row>
    <row r="87" spans="2:16" ht="15.75">
      <c r="B87" s="376" t="s">
        <v>282</v>
      </c>
      <c r="C87" s="393">
        <f t="shared" si="40"/>
        <v>-4.5759410945531734E-4</v>
      </c>
      <c r="D87" s="393">
        <f t="shared" si="40"/>
        <v>1.7300892221429594E-3</v>
      </c>
      <c r="E87" s="393">
        <f t="shared" si="40"/>
        <v>1.7282500537583027E-3</v>
      </c>
      <c r="F87" s="393">
        <f t="shared" si="40"/>
        <v>-8.6194804439241168E-3</v>
      </c>
      <c r="G87" s="393">
        <f t="shared" si="40"/>
        <v>7.536306892497048E-3</v>
      </c>
      <c r="H87" s="393">
        <f t="shared" si="40"/>
        <v>2.6566624324181336E-3</v>
      </c>
      <c r="I87" s="393">
        <f t="shared" si="40"/>
        <v>4.3093171820921703E-3</v>
      </c>
      <c r="J87" s="393">
        <f t="shared" si="40"/>
        <v>-3.9871540525227153E-4</v>
      </c>
      <c r="K87" s="393">
        <f t="shared" si="40"/>
        <v>1.9058375927544047E-3</v>
      </c>
      <c r="L87" s="393">
        <f t="shared" si="40"/>
        <v>-5.8116188416877711E-4</v>
      </c>
      <c r="M87" s="393">
        <f t="shared" si="40"/>
        <v>-1.4106441055301076E-3</v>
      </c>
      <c r="N87" s="393">
        <f t="shared" si="40"/>
        <v>3.4124957398678404E-3</v>
      </c>
      <c r="O87" s="394">
        <f t="shared" si="40"/>
        <v>1.1811363167200271E-2</v>
      </c>
    </row>
    <row r="88" spans="2:16" ht="15.75">
      <c r="B88" s="376" t="s">
        <v>283</v>
      </c>
      <c r="C88" s="393">
        <f t="shared" si="40"/>
        <v>0</v>
      </c>
      <c r="D88" s="393">
        <f t="shared" si="40"/>
        <v>0</v>
      </c>
      <c r="E88" s="393">
        <f t="shared" si="40"/>
        <v>0</v>
      </c>
      <c r="F88" s="393">
        <f t="shared" si="40"/>
        <v>0</v>
      </c>
      <c r="G88" s="393">
        <f t="shared" si="40"/>
        <v>0</v>
      </c>
      <c r="H88" s="393">
        <f t="shared" si="40"/>
        <v>0</v>
      </c>
      <c r="I88" s="393">
        <f t="shared" si="40"/>
        <v>0</v>
      </c>
      <c r="J88" s="393">
        <f t="shared" si="40"/>
        <v>0</v>
      </c>
      <c r="K88" s="393">
        <f t="shared" si="40"/>
        <v>0</v>
      </c>
      <c r="L88" s="393">
        <f t="shared" si="40"/>
        <v>0</v>
      </c>
      <c r="M88" s="393">
        <f t="shared" si="40"/>
        <v>0</v>
      </c>
      <c r="N88" s="393">
        <f t="shared" si="40"/>
        <v>0</v>
      </c>
      <c r="O88" s="394">
        <f t="shared" si="40"/>
        <v>0</v>
      </c>
    </row>
    <row r="89" spans="2:16" ht="15.75">
      <c r="B89" s="376" t="s">
        <v>284</v>
      </c>
      <c r="C89" s="393">
        <f t="shared" si="40"/>
        <v>1.1841153648908791E-3</v>
      </c>
      <c r="D89" s="393">
        <f t="shared" si="40"/>
        <v>2.924472674569422E-3</v>
      </c>
      <c r="E89" s="393">
        <f t="shared" si="40"/>
        <v>2.6622010014403811E-3</v>
      </c>
      <c r="F89" s="393">
        <f t="shared" si="40"/>
        <v>1.3531523919884769E-3</v>
      </c>
      <c r="G89" s="393">
        <f t="shared" si="40"/>
        <v>-6.3123420615199786E-4</v>
      </c>
      <c r="H89" s="393">
        <f t="shared" si="40"/>
        <v>2.8475484959621538E-3</v>
      </c>
      <c r="I89" s="393">
        <f t="shared" si="40"/>
        <v>1.3447468794585257E-3</v>
      </c>
      <c r="J89" s="393">
        <f t="shared" si="40"/>
        <v>1.3694797369597719E-3</v>
      </c>
      <c r="K89" s="393">
        <f t="shared" si="40"/>
        <v>2.109655266863041E-3</v>
      </c>
      <c r="L89" s="393">
        <f t="shared" si="40"/>
        <v>1.2724180851463249E-3</v>
      </c>
      <c r="M89" s="393">
        <f t="shared" si="40"/>
        <v>4.6598092638355099E-3</v>
      </c>
      <c r="N89" s="393">
        <f t="shared" si="40"/>
        <v>4.7858214371044924E-3</v>
      </c>
      <c r="O89" s="394">
        <f t="shared" si="40"/>
        <v>2.5882186392066985E-2</v>
      </c>
    </row>
    <row r="90" spans="2:16" ht="15.75">
      <c r="B90" s="376" t="s">
        <v>334</v>
      </c>
      <c r="C90" s="393">
        <f t="shared" si="40"/>
        <v>0</v>
      </c>
      <c r="D90" s="393">
        <f t="shared" si="40"/>
        <v>0</v>
      </c>
      <c r="E90" s="393">
        <f t="shared" si="40"/>
        <v>0</v>
      </c>
      <c r="F90" s="393">
        <f t="shared" si="40"/>
        <v>0</v>
      </c>
      <c r="G90" s="393">
        <f t="shared" si="40"/>
        <v>0</v>
      </c>
      <c r="H90" s="393">
        <f t="shared" si="40"/>
        <v>0</v>
      </c>
      <c r="I90" s="393">
        <f t="shared" si="40"/>
        <v>0</v>
      </c>
      <c r="J90" s="393">
        <f t="shared" si="40"/>
        <v>0</v>
      </c>
      <c r="K90" s="393">
        <f t="shared" si="40"/>
        <v>0</v>
      </c>
      <c r="L90" s="393">
        <f t="shared" si="40"/>
        <v>0</v>
      </c>
      <c r="M90" s="393">
        <f t="shared" si="40"/>
        <v>0</v>
      </c>
      <c r="N90" s="393">
        <f t="shared" si="40"/>
        <v>0</v>
      </c>
      <c r="O90" s="394">
        <f t="shared" si="40"/>
        <v>0</v>
      </c>
    </row>
    <row r="91" spans="2:16" ht="15.75">
      <c r="B91" s="376" t="s">
        <v>335</v>
      </c>
      <c r="C91" s="393">
        <f t="shared" si="40"/>
        <v>-1.6001122362429942E-3</v>
      </c>
      <c r="D91" s="393">
        <f t="shared" si="40"/>
        <v>-1.6096924918423908E-3</v>
      </c>
      <c r="E91" s="393">
        <f t="shared" si="40"/>
        <v>-1.6157156672173337E-3</v>
      </c>
      <c r="F91" s="393">
        <f t="shared" si="40"/>
        <v>-1.615086780833373E-3</v>
      </c>
      <c r="G91" s="393">
        <f t="shared" si="40"/>
        <v>-1.628382395606496E-3</v>
      </c>
      <c r="H91" s="393">
        <f t="shared" si="40"/>
        <v>-1.63511116363686E-3</v>
      </c>
      <c r="I91" s="393">
        <f t="shared" si="40"/>
        <v>-1.6563976420584478E-3</v>
      </c>
      <c r="J91" s="393">
        <f t="shared" si="40"/>
        <v>-1.6513696122234434E-3</v>
      </c>
      <c r="K91" s="393">
        <f t="shared" si="40"/>
        <v>-1.6213188669456412E-3</v>
      </c>
      <c r="L91" s="393">
        <f t="shared" si="40"/>
        <v>-1.6606520869314417E-3</v>
      </c>
      <c r="M91" s="393">
        <f t="shared" si="40"/>
        <v>-1.8560744206902906E-3</v>
      </c>
      <c r="N91" s="393">
        <f t="shared" si="40"/>
        <v>-2.5517360612400931E-3</v>
      </c>
      <c r="O91" s="394">
        <f t="shared" si="40"/>
        <v>-2.0701649425468805E-2</v>
      </c>
    </row>
    <row r="92" spans="2:16" ht="15.75">
      <c r="B92" s="400" t="s">
        <v>336</v>
      </c>
      <c r="C92" s="401">
        <f t="shared" si="40"/>
        <v>3.7057227550646389E-4</v>
      </c>
      <c r="D92" s="401">
        <f t="shared" si="40"/>
        <v>1.1600220729741885E-3</v>
      </c>
      <c r="E92" s="401">
        <f t="shared" si="40"/>
        <v>-2.0394586293737654E-3</v>
      </c>
      <c r="F92" s="401">
        <f t="shared" si="40"/>
        <v>2.7461043805147877E-4</v>
      </c>
      <c r="G92" s="401">
        <f t="shared" si="40"/>
        <v>1.4595776245002457E-3</v>
      </c>
      <c r="H92" s="401">
        <f t="shared" si="40"/>
        <v>-1.3813919734729685E-3</v>
      </c>
      <c r="I92" s="401">
        <f t="shared" si="40"/>
        <v>-1.2028797349260577E-3</v>
      </c>
      <c r="J92" s="401">
        <f t="shared" si="40"/>
        <v>7.8678350058138525E-4</v>
      </c>
      <c r="K92" s="401">
        <f t="shared" si="40"/>
        <v>-2.8366288457062954E-4</v>
      </c>
      <c r="L92" s="401">
        <f t="shared" si="40"/>
        <v>-7.7971270951732955E-4</v>
      </c>
      <c r="M92" s="401">
        <f t="shared" si="40"/>
        <v>4.3246342522590349E-4</v>
      </c>
      <c r="N92" s="401">
        <f t="shared" si="40"/>
        <v>-6.2402813258732078E-4</v>
      </c>
      <c r="O92" s="402">
        <f t="shared" si="40"/>
        <v>-1.827104727608406E-3</v>
      </c>
    </row>
    <row r="93" spans="2:16" ht="24.95" customHeight="1" thickBot="1">
      <c r="B93" s="403" t="s">
        <v>359</v>
      </c>
      <c r="C93" s="404"/>
      <c r="D93" s="405"/>
      <c r="E93" s="405"/>
      <c r="F93" s="405"/>
      <c r="G93" s="405"/>
      <c r="H93" s="405"/>
      <c r="I93" s="405"/>
      <c r="J93" s="405"/>
      <c r="K93" s="405"/>
      <c r="L93" s="405"/>
      <c r="M93" s="405"/>
      <c r="N93" s="405"/>
      <c r="O93" s="496">
        <v>23438.240000000002</v>
      </c>
    </row>
    <row r="94" spans="2:16">
      <c r="B94" s="48" t="s">
        <v>338</v>
      </c>
    </row>
    <row r="95" spans="2:16">
      <c r="B95" s="48" t="s">
        <v>356</v>
      </c>
    </row>
    <row r="97" spans="2:15" ht="16.5" thickBot="1">
      <c r="B97" s="353" t="s">
        <v>340</v>
      </c>
      <c r="C97" s="2"/>
      <c r="D97" s="2"/>
      <c r="E97" s="2"/>
      <c r="F97" s="2"/>
      <c r="G97" s="2"/>
      <c r="H97" s="2"/>
      <c r="I97" s="2"/>
      <c r="J97" s="2"/>
      <c r="K97" s="2"/>
      <c r="L97" s="2"/>
      <c r="M97" s="2"/>
      <c r="N97" s="2"/>
      <c r="O97" s="2"/>
    </row>
    <row r="98" spans="2:15" ht="24.95" customHeight="1" thickBot="1">
      <c r="B98" s="407" t="s">
        <v>357</v>
      </c>
      <c r="C98" s="408">
        <f t="shared" ref="C98:O98" si="41">C49/$O$93</f>
        <v>1.6001122362429942E-3</v>
      </c>
      <c r="D98" s="409">
        <f t="shared" si="41"/>
        <v>1.6096924918423908E-3</v>
      </c>
      <c r="E98" s="409">
        <f t="shared" si="41"/>
        <v>1.6157156672173337E-3</v>
      </c>
      <c r="F98" s="409">
        <f t="shared" si="41"/>
        <v>1.615086780833373E-3</v>
      </c>
      <c r="G98" s="409">
        <f t="shared" si="41"/>
        <v>1.628382395606496E-3</v>
      </c>
      <c r="H98" s="409">
        <f t="shared" si="41"/>
        <v>1.63511116363686E-3</v>
      </c>
      <c r="I98" s="409">
        <f t="shared" si="41"/>
        <v>1.6563976420584478E-3</v>
      </c>
      <c r="J98" s="409">
        <f t="shared" si="41"/>
        <v>1.6513696122234434E-3</v>
      </c>
      <c r="K98" s="409">
        <f t="shared" si="41"/>
        <v>1.6213188669456412E-3</v>
      </c>
      <c r="L98" s="409">
        <f t="shared" si="41"/>
        <v>1.6606520869314417E-3</v>
      </c>
      <c r="M98" s="409">
        <f t="shared" si="41"/>
        <v>1.8560744206902906E-3</v>
      </c>
      <c r="N98" s="410">
        <f t="shared" si="41"/>
        <v>2.5517360612400931E-3</v>
      </c>
      <c r="O98" s="411">
        <f t="shared" si="41"/>
        <v>2.0701649425468805E-2</v>
      </c>
    </row>
  </sheetData>
  <printOptions horizontalCentered="1"/>
  <pageMargins left="0.7" right="0.7" top="0.75" bottom="0.75" header="0.3" footer="0.3"/>
  <pageSetup scale="2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8"/>
  <sheetViews>
    <sheetView workbookViewId="0"/>
  </sheetViews>
  <sheetFormatPr baseColWidth="10" defaultRowHeight="15"/>
  <cols>
    <col min="1" max="1" width="2.7109375" customWidth="1"/>
    <col min="2" max="2" width="52.42578125" customWidth="1"/>
    <col min="3" max="14" width="8.7109375" customWidth="1"/>
    <col min="15" max="15" width="9.28515625" customWidth="1"/>
  </cols>
  <sheetData>
    <row r="1" spans="1:16" ht="15.75">
      <c r="A1" s="2"/>
      <c r="B1" s="353" t="s">
        <v>18</v>
      </c>
      <c r="C1" s="2"/>
      <c r="D1" s="2"/>
      <c r="E1" s="2"/>
      <c r="F1" s="2"/>
      <c r="G1" s="2"/>
      <c r="H1" s="2"/>
      <c r="I1" s="2"/>
      <c r="J1" s="2"/>
      <c r="K1" s="2"/>
      <c r="L1" s="2"/>
      <c r="M1" s="2"/>
      <c r="N1" s="2"/>
      <c r="O1" s="2"/>
      <c r="P1" s="2"/>
    </row>
    <row r="2" spans="1:16" ht="15.75">
      <c r="A2" s="2"/>
      <c r="B2" s="353" t="s">
        <v>564</v>
      </c>
      <c r="C2" s="2"/>
      <c r="D2" s="2"/>
      <c r="E2" s="2"/>
      <c r="F2" s="2"/>
      <c r="G2" s="2"/>
      <c r="H2" s="2"/>
      <c r="I2" s="268"/>
      <c r="J2" s="268"/>
      <c r="K2" s="268"/>
      <c r="L2" s="268"/>
      <c r="M2" s="268"/>
      <c r="N2" s="268"/>
      <c r="O2" s="268"/>
      <c r="P2" s="2"/>
    </row>
    <row r="3" spans="1:16" ht="15.75">
      <c r="A3" s="2"/>
      <c r="B3" s="353" t="s">
        <v>19</v>
      </c>
      <c r="C3" s="2"/>
      <c r="D3" s="2"/>
      <c r="E3" s="2"/>
      <c r="F3" s="2"/>
      <c r="G3" s="2"/>
      <c r="H3" s="2"/>
      <c r="I3" s="268"/>
      <c r="J3" s="268"/>
      <c r="K3" s="268"/>
      <c r="L3" s="268"/>
      <c r="M3" s="268"/>
      <c r="N3" s="268"/>
      <c r="O3" s="268"/>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519</v>
      </c>
      <c r="P5" s="2"/>
    </row>
    <row r="6" spans="1:16" ht="15.75">
      <c r="A6" s="2"/>
      <c r="B6" s="358"/>
      <c r="C6" s="359"/>
      <c r="D6" s="359"/>
      <c r="E6" s="359"/>
      <c r="F6" s="359"/>
      <c r="G6" s="359"/>
      <c r="H6" s="359"/>
      <c r="I6" s="359"/>
      <c r="J6" s="359"/>
      <c r="K6" s="359"/>
      <c r="L6" s="359"/>
      <c r="M6" s="359"/>
      <c r="N6" s="359"/>
      <c r="O6" s="360"/>
      <c r="P6" s="2"/>
    </row>
    <row r="7" spans="1:16" ht="24.95" customHeight="1">
      <c r="A7" s="2"/>
      <c r="B7" s="390" t="s">
        <v>239</v>
      </c>
      <c r="C7" s="494">
        <f t="shared" ref="C7:N7" si="0">+C8+C12+C13</f>
        <v>474.96939743999997</v>
      </c>
      <c r="D7" s="494">
        <f t="shared" si="0"/>
        <v>372.22390539000008</v>
      </c>
      <c r="E7" s="494">
        <f t="shared" si="0"/>
        <v>406.83625552000007</v>
      </c>
      <c r="F7" s="494">
        <f t="shared" si="0"/>
        <v>660.62277086000006</v>
      </c>
      <c r="G7" s="494">
        <f t="shared" si="0"/>
        <v>563.74561115000006</v>
      </c>
      <c r="H7" s="494">
        <f t="shared" si="0"/>
        <v>393.62801738999997</v>
      </c>
      <c r="I7" s="494">
        <f t="shared" si="0"/>
        <v>407.53389715999998</v>
      </c>
      <c r="J7" s="494">
        <f t="shared" si="0"/>
        <v>384.01753799000005</v>
      </c>
      <c r="K7" s="494">
        <f t="shared" si="0"/>
        <v>380.97308961000005</v>
      </c>
      <c r="L7" s="494">
        <f t="shared" si="0"/>
        <v>393.76005173000004</v>
      </c>
      <c r="M7" s="494">
        <f t="shared" si="0"/>
        <v>412.66577969000008</v>
      </c>
      <c r="N7" s="494">
        <f t="shared" si="0"/>
        <v>492.76372198999996</v>
      </c>
      <c r="O7" s="495">
        <f>SUM(C7:N7)</f>
        <v>5343.7400359200001</v>
      </c>
      <c r="P7" s="2"/>
    </row>
    <row r="8" spans="1:16" ht="21" customHeight="1">
      <c r="A8" s="2"/>
      <c r="B8" s="376" t="s">
        <v>240</v>
      </c>
      <c r="C8" s="497">
        <f>+C9+C10+C11</f>
        <v>471.73261408999997</v>
      </c>
      <c r="D8" s="497">
        <f t="shared" ref="D8:N8" si="1">+D9+D10+D11</f>
        <v>368.99889497000004</v>
      </c>
      <c r="E8" s="497">
        <f t="shared" si="1"/>
        <v>403.89703409000009</v>
      </c>
      <c r="F8" s="497">
        <f t="shared" si="1"/>
        <v>656.87870397000006</v>
      </c>
      <c r="G8" s="497">
        <f t="shared" si="1"/>
        <v>560.34660742000005</v>
      </c>
      <c r="H8" s="497">
        <f t="shared" si="1"/>
        <v>390.12603818999997</v>
      </c>
      <c r="I8" s="497">
        <f t="shared" si="1"/>
        <v>401.49658101</v>
      </c>
      <c r="J8" s="497">
        <f t="shared" si="1"/>
        <v>381.13146385000005</v>
      </c>
      <c r="K8" s="497">
        <f t="shared" si="1"/>
        <v>376.75599645000005</v>
      </c>
      <c r="L8" s="497">
        <f t="shared" si="1"/>
        <v>390.47415177000005</v>
      </c>
      <c r="M8" s="497">
        <f t="shared" si="1"/>
        <v>407.76846545000006</v>
      </c>
      <c r="N8" s="497">
        <f t="shared" si="1"/>
        <v>488.16811098999995</v>
      </c>
      <c r="O8" s="498">
        <f t="shared" ref="O8:O13" si="2">SUM(C8:N8)</f>
        <v>5297.7746622499999</v>
      </c>
      <c r="P8" s="2"/>
    </row>
    <row r="9" spans="1:16" ht="18.75">
      <c r="A9" s="2"/>
      <c r="B9" s="371" t="s">
        <v>351</v>
      </c>
      <c r="C9" s="497">
        <v>384.90385033000001</v>
      </c>
      <c r="D9" s="497">
        <v>300.67889889000003</v>
      </c>
      <c r="E9" s="497">
        <v>319.15738912000006</v>
      </c>
      <c r="F9" s="497">
        <v>583.19444895000004</v>
      </c>
      <c r="G9" s="497">
        <v>415.23252654000004</v>
      </c>
      <c r="H9" s="497">
        <v>319.46003714</v>
      </c>
      <c r="I9" s="497">
        <v>325.90390288000003</v>
      </c>
      <c r="J9" s="497">
        <v>306.11691969000003</v>
      </c>
      <c r="K9" s="497">
        <v>302.32861056000002</v>
      </c>
      <c r="L9" s="497">
        <v>322.79087348000002</v>
      </c>
      <c r="M9" s="497">
        <v>328.4174253700001</v>
      </c>
      <c r="N9" s="497">
        <v>329.80869999999993</v>
      </c>
      <c r="O9" s="498">
        <f t="shared" si="2"/>
        <v>4237.9935829500009</v>
      </c>
      <c r="P9" s="2"/>
    </row>
    <row r="10" spans="1:16" ht="15.75">
      <c r="A10" s="2"/>
      <c r="B10" s="371" t="s">
        <v>317</v>
      </c>
      <c r="C10" s="497">
        <v>72.537300479999999</v>
      </c>
      <c r="D10" s="497">
        <v>58.047961520000001</v>
      </c>
      <c r="E10" s="497">
        <v>73.411672870000004</v>
      </c>
      <c r="F10" s="497">
        <v>63.722086040000001</v>
      </c>
      <c r="G10" s="497">
        <v>130.86608088</v>
      </c>
      <c r="H10" s="497">
        <v>60.017001049999998</v>
      </c>
      <c r="I10" s="497">
        <v>62.149678130000005</v>
      </c>
      <c r="J10" s="497">
        <v>65.708949930000003</v>
      </c>
      <c r="K10" s="497">
        <v>61.406385889999996</v>
      </c>
      <c r="L10" s="497">
        <v>60.482167650000001</v>
      </c>
      <c r="M10" s="497">
        <v>68.40134535</v>
      </c>
      <c r="N10" s="497">
        <v>161.08626713000001</v>
      </c>
      <c r="O10" s="498">
        <f t="shared" si="2"/>
        <v>937.83689692000007</v>
      </c>
      <c r="P10" s="2"/>
    </row>
    <row r="11" spans="1:16" ht="15.75">
      <c r="A11" s="2"/>
      <c r="B11" s="371" t="s">
        <v>318</v>
      </c>
      <c r="C11" s="497">
        <v>14.291463279999988</v>
      </c>
      <c r="D11" s="497">
        <v>10.272034559999998</v>
      </c>
      <c r="E11" s="497">
        <v>11.327972099999997</v>
      </c>
      <c r="F11" s="497">
        <v>9.9621689799999977</v>
      </c>
      <c r="G11" s="497">
        <v>14.248000000000008</v>
      </c>
      <c r="H11" s="497">
        <v>10.649000000000004</v>
      </c>
      <c r="I11" s="497">
        <v>13.442999999999998</v>
      </c>
      <c r="J11" s="497">
        <v>9.3055942300000041</v>
      </c>
      <c r="K11" s="497">
        <v>13.020999999999997</v>
      </c>
      <c r="L11" s="497">
        <v>7.2011106399999996</v>
      </c>
      <c r="M11" s="497">
        <v>10.949694729999994</v>
      </c>
      <c r="N11" s="497">
        <v>-2.7268561400000024</v>
      </c>
      <c r="O11" s="498">
        <f t="shared" si="2"/>
        <v>121.94418237999997</v>
      </c>
      <c r="P11" s="2"/>
    </row>
    <row r="12" spans="1:16" ht="21" customHeight="1">
      <c r="A12" s="2"/>
      <c r="B12" s="376" t="s">
        <v>244</v>
      </c>
      <c r="C12" s="497">
        <v>0.02</v>
      </c>
      <c r="D12" s="497">
        <v>1.6E-2</v>
      </c>
      <c r="E12" s="497">
        <v>5.0000000000000001E-3</v>
      </c>
      <c r="F12" s="497">
        <v>2.5000000000000001E-3</v>
      </c>
      <c r="G12" s="497">
        <v>7.4248000000000001E-4</v>
      </c>
      <c r="H12" s="497">
        <v>0</v>
      </c>
      <c r="I12" s="497">
        <v>0</v>
      </c>
      <c r="J12" s="497">
        <v>0</v>
      </c>
      <c r="K12" s="497">
        <v>2.526016E-2</v>
      </c>
      <c r="L12" s="497">
        <v>0</v>
      </c>
      <c r="M12" s="497">
        <v>0</v>
      </c>
      <c r="N12" s="497">
        <v>0</v>
      </c>
      <c r="O12" s="498">
        <f t="shared" si="2"/>
        <v>6.9502640000000004E-2</v>
      </c>
      <c r="P12" s="2"/>
    </row>
    <row r="13" spans="1:16" ht="21" customHeight="1">
      <c r="A13" s="2"/>
      <c r="B13" s="376" t="s">
        <v>245</v>
      </c>
      <c r="C13" s="497">
        <v>3.21678335</v>
      </c>
      <c r="D13" s="497">
        <v>3.2090104199999998</v>
      </c>
      <c r="E13" s="497">
        <v>2.93422143</v>
      </c>
      <c r="F13" s="497">
        <v>3.7415668899999996</v>
      </c>
      <c r="G13" s="497">
        <v>3.39826125</v>
      </c>
      <c r="H13" s="497">
        <v>3.5019792000000001</v>
      </c>
      <c r="I13" s="497">
        <v>6.0373161499999997</v>
      </c>
      <c r="J13" s="497">
        <v>2.8860741399999998</v>
      </c>
      <c r="K13" s="497">
        <v>4.1918329999999999</v>
      </c>
      <c r="L13" s="497">
        <v>3.2858999599999996</v>
      </c>
      <c r="M13" s="497">
        <v>4.89731424</v>
      </c>
      <c r="N13" s="497">
        <v>4.5956110000000008</v>
      </c>
      <c r="O13" s="498">
        <f t="shared" si="2"/>
        <v>45.895871030000002</v>
      </c>
      <c r="P13" s="2"/>
    </row>
    <row r="14" spans="1:16" ht="24.95" customHeight="1">
      <c r="A14" s="2"/>
      <c r="B14" s="390" t="s">
        <v>246</v>
      </c>
      <c r="C14" s="494">
        <f>+C15+C21+C24</f>
        <v>488.33480728481504</v>
      </c>
      <c r="D14" s="494">
        <f t="shared" ref="D14:N14" si="3">+D15+D21+D24</f>
        <v>371.51949365999997</v>
      </c>
      <c r="E14" s="494">
        <f t="shared" si="3"/>
        <v>414.898374262</v>
      </c>
      <c r="F14" s="494">
        <f t="shared" si="3"/>
        <v>450.45985719999999</v>
      </c>
      <c r="G14" s="494">
        <f t="shared" si="3"/>
        <v>494.156627953</v>
      </c>
      <c r="H14" s="494">
        <f t="shared" si="3"/>
        <v>482.59858460999993</v>
      </c>
      <c r="I14" s="494">
        <f t="shared" si="3"/>
        <v>453.50277402332</v>
      </c>
      <c r="J14" s="494">
        <f t="shared" si="3"/>
        <v>397.66323632200005</v>
      </c>
      <c r="K14" s="494">
        <f t="shared" si="3"/>
        <v>433.63898727599997</v>
      </c>
      <c r="L14" s="494">
        <f t="shared" si="3"/>
        <v>386.880974294</v>
      </c>
      <c r="M14" s="494">
        <f t="shared" si="3"/>
        <v>392.49344838500002</v>
      </c>
      <c r="N14" s="494">
        <f t="shared" si="3"/>
        <v>808.00890477999997</v>
      </c>
      <c r="O14" s="495">
        <f>SUM(C14:N14)</f>
        <v>5574.156070050135</v>
      </c>
      <c r="P14" s="2"/>
    </row>
    <row r="15" spans="1:16" ht="21" customHeight="1">
      <c r="A15" s="2"/>
      <c r="B15" s="376" t="s">
        <v>247</v>
      </c>
      <c r="C15" s="497">
        <f>+C16+C19+C20</f>
        <v>432.22848146231502</v>
      </c>
      <c r="D15" s="497">
        <f t="shared" ref="D15:N15" si="4">+D16+D19+D20</f>
        <v>321.97048466249998</v>
      </c>
      <c r="E15" s="497">
        <f t="shared" si="4"/>
        <v>346.30227991150002</v>
      </c>
      <c r="F15" s="497">
        <f t="shared" si="4"/>
        <v>379.26183036250001</v>
      </c>
      <c r="G15" s="497">
        <f t="shared" si="4"/>
        <v>412.37950990749999</v>
      </c>
      <c r="H15" s="497">
        <f t="shared" si="4"/>
        <v>421.08361925249994</v>
      </c>
      <c r="I15" s="497">
        <f t="shared" si="4"/>
        <v>397.7680742325</v>
      </c>
      <c r="J15" s="497">
        <f t="shared" si="4"/>
        <v>341.21082981450002</v>
      </c>
      <c r="K15" s="497">
        <f t="shared" si="4"/>
        <v>362.06605103649997</v>
      </c>
      <c r="L15" s="497">
        <f t="shared" si="4"/>
        <v>323.48387359000003</v>
      </c>
      <c r="M15" s="497">
        <f t="shared" si="4"/>
        <v>321.19105788100001</v>
      </c>
      <c r="N15" s="497">
        <f t="shared" si="4"/>
        <v>698.57752845249991</v>
      </c>
      <c r="O15" s="498">
        <f t="shared" ref="O15:O24" si="5">SUM(C15:N15)</f>
        <v>4757.5236205658148</v>
      </c>
      <c r="P15" s="2"/>
    </row>
    <row r="16" spans="1:16" ht="15.75">
      <c r="A16" s="2"/>
      <c r="B16" s="371" t="s">
        <v>321</v>
      </c>
      <c r="C16" s="497">
        <f>+C17+C18</f>
        <v>246.76300521750002</v>
      </c>
      <c r="D16" s="497">
        <f t="shared" ref="D16:N16" si="6">+D17+D18</f>
        <v>264.67328538250001</v>
      </c>
      <c r="E16" s="497">
        <f t="shared" si="6"/>
        <v>270.7634747015</v>
      </c>
      <c r="F16" s="497">
        <f t="shared" si="6"/>
        <v>283.64642688250001</v>
      </c>
      <c r="G16" s="497">
        <f t="shared" si="6"/>
        <v>317.56941380749998</v>
      </c>
      <c r="H16" s="497">
        <f t="shared" si="6"/>
        <v>292.78588698249996</v>
      </c>
      <c r="I16" s="497">
        <f t="shared" si="6"/>
        <v>240.6022625425</v>
      </c>
      <c r="J16" s="497">
        <f t="shared" si="6"/>
        <v>258.32595402449999</v>
      </c>
      <c r="K16" s="497">
        <f t="shared" si="6"/>
        <v>270.59495983849996</v>
      </c>
      <c r="L16" s="497">
        <f t="shared" si="6"/>
        <v>254.86867505999999</v>
      </c>
      <c r="M16" s="497">
        <f t="shared" si="6"/>
        <v>242.98759499999997</v>
      </c>
      <c r="N16" s="497">
        <f t="shared" si="6"/>
        <v>589.22183440250001</v>
      </c>
      <c r="O16" s="498">
        <f t="shared" si="5"/>
        <v>3532.8027738420001</v>
      </c>
      <c r="P16" s="2"/>
    </row>
    <row r="17" spans="1:18" ht="15.75">
      <c r="A17" s="2"/>
      <c r="B17" s="395" t="s">
        <v>322</v>
      </c>
      <c r="C17" s="497">
        <v>184.35076612925002</v>
      </c>
      <c r="D17" s="497">
        <v>186.83814567875001</v>
      </c>
      <c r="E17" s="497">
        <v>188.65988605115001</v>
      </c>
      <c r="F17" s="497">
        <v>190.73549355974998</v>
      </c>
      <c r="G17" s="497">
        <v>192.33403512224999</v>
      </c>
      <c r="H17" s="497">
        <v>216.17784256474994</v>
      </c>
      <c r="I17" s="497">
        <v>184.89131674575</v>
      </c>
      <c r="J17" s="497">
        <v>186.62908431685</v>
      </c>
      <c r="K17" s="497">
        <v>182.68771630894997</v>
      </c>
      <c r="L17" s="497">
        <v>188.71221742399999</v>
      </c>
      <c r="M17" s="497">
        <v>180.54334192899998</v>
      </c>
      <c r="N17" s="497">
        <v>354.33517312275001</v>
      </c>
      <c r="O17" s="498">
        <f t="shared" si="5"/>
        <v>2436.8950189531997</v>
      </c>
      <c r="P17" s="2"/>
    </row>
    <row r="18" spans="1:18" ht="15.75">
      <c r="A18" s="2"/>
      <c r="B18" s="395" t="s">
        <v>323</v>
      </c>
      <c r="C18" s="497">
        <v>62.412239088249997</v>
      </c>
      <c r="D18" s="497">
        <v>77.835139703749974</v>
      </c>
      <c r="E18" s="497">
        <v>82.103588650349991</v>
      </c>
      <c r="F18" s="497">
        <v>92.910933322749997</v>
      </c>
      <c r="G18" s="497">
        <v>125.23537868525001</v>
      </c>
      <c r="H18" s="497">
        <v>76.608044417749994</v>
      </c>
      <c r="I18" s="497">
        <v>55.710945796750003</v>
      </c>
      <c r="J18" s="497">
        <v>71.696869707649995</v>
      </c>
      <c r="K18" s="497">
        <v>87.907243529550001</v>
      </c>
      <c r="L18" s="497">
        <v>66.156457635999999</v>
      </c>
      <c r="M18" s="497">
        <v>62.444253070999991</v>
      </c>
      <c r="N18" s="497">
        <v>234.88666127975</v>
      </c>
      <c r="O18" s="498">
        <f t="shared" si="5"/>
        <v>1095.9077548887999</v>
      </c>
      <c r="P18" s="2"/>
    </row>
    <row r="19" spans="1:18" ht="15.75">
      <c r="A19" s="2"/>
      <c r="B19" s="371" t="s">
        <v>352</v>
      </c>
      <c r="C19" s="497">
        <v>145.26739134481497</v>
      </c>
      <c r="D19" s="497">
        <v>28.347221519999998</v>
      </c>
      <c r="E19" s="497">
        <v>31.671713230000002</v>
      </c>
      <c r="F19" s="497">
        <v>57.839298030000002</v>
      </c>
      <c r="G19" s="497">
        <v>43.289080230000003</v>
      </c>
      <c r="H19" s="497">
        <v>69.172093630000006</v>
      </c>
      <c r="I19" s="497">
        <v>129.59323264</v>
      </c>
      <c r="J19" s="497">
        <v>29.698683580000001</v>
      </c>
      <c r="K19" s="497">
        <v>28.028847750000001</v>
      </c>
      <c r="L19" s="497">
        <v>35.916987519999999</v>
      </c>
      <c r="M19" s="497">
        <v>43.666259091000008</v>
      </c>
      <c r="N19" s="497">
        <v>62.782443139999991</v>
      </c>
      <c r="O19" s="498">
        <f t="shared" si="5"/>
        <v>705.27325170581491</v>
      </c>
      <c r="P19" s="2"/>
    </row>
    <row r="20" spans="1:18" ht="15.75">
      <c r="A20" s="2"/>
      <c r="B20" s="371" t="s">
        <v>325</v>
      </c>
      <c r="C20" s="497">
        <v>40.198084899999998</v>
      </c>
      <c r="D20" s="497">
        <v>28.949977759999996</v>
      </c>
      <c r="E20" s="497">
        <v>43.867091979999991</v>
      </c>
      <c r="F20" s="497">
        <v>37.776105449999996</v>
      </c>
      <c r="G20" s="497">
        <v>51.521015870000006</v>
      </c>
      <c r="H20" s="497">
        <v>59.125638640000005</v>
      </c>
      <c r="I20" s="497">
        <v>27.572579049999995</v>
      </c>
      <c r="J20" s="497">
        <v>53.186192210000002</v>
      </c>
      <c r="K20" s="497">
        <v>63.442243448000006</v>
      </c>
      <c r="L20" s="497">
        <v>32.698211010000001</v>
      </c>
      <c r="M20" s="497">
        <v>34.537203790000007</v>
      </c>
      <c r="N20" s="497">
        <v>46.573250910000006</v>
      </c>
      <c r="O20" s="498">
        <f t="shared" si="5"/>
        <v>519.44759501800002</v>
      </c>
      <c r="P20" s="2"/>
    </row>
    <row r="21" spans="1:18" ht="21" customHeight="1">
      <c r="A21" s="2"/>
      <c r="B21" s="376" t="s">
        <v>259</v>
      </c>
      <c r="C21" s="497">
        <f>+C22+C23</f>
        <v>56.106325822500004</v>
      </c>
      <c r="D21" s="497">
        <f t="shared" ref="D21:N21" si="7">+D22+D23</f>
        <v>49.555054927500009</v>
      </c>
      <c r="E21" s="497">
        <f t="shared" si="7"/>
        <v>68.596094350499996</v>
      </c>
      <c r="F21" s="497">
        <f t="shared" si="7"/>
        <v>71.208526837499988</v>
      </c>
      <c r="G21" s="497">
        <f t="shared" si="7"/>
        <v>81.777118045499989</v>
      </c>
      <c r="H21" s="497">
        <f t="shared" si="7"/>
        <v>61.742528307499995</v>
      </c>
      <c r="I21" s="497">
        <f t="shared" si="7"/>
        <v>55.737924790820003</v>
      </c>
      <c r="J21" s="497">
        <f t="shared" si="7"/>
        <v>56.455952437499988</v>
      </c>
      <c r="K21" s="497">
        <f t="shared" si="7"/>
        <v>71.572936239499995</v>
      </c>
      <c r="L21" s="497">
        <f t="shared" si="7"/>
        <v>63.397100703999989</v>
      </c>
      <c r="M21" s="497">
        <f t="shared" si="7"/>
        <v>71.302390504000002</v>
      </c>
      <c r="N21" s="497">
        <f t="shared" si="7"/>
        <v>109.65599810750001</v>
      </c>
      <c r="O21" s="498">
        <f>SUM(C21:N21)</f>
        <v>817.10795107431977</v>
      </c>
      <c r="P21" s="2"/>
    </row>
    <row r="22" spans="1:18" ht="15.75">
      <c r="A22" s="2"/>
      <c r="B22" s="371" t="s">
        <v>260</v>
      </c>
      <c r="C22" s="497">
        <v>55.289345642500002</v>
      </c>
      <c r="D22" s="497">
        <v>45.358721577500006</v>
      </c>
      <c r="E22" s="497">
        <v>62.231569750499993</v>
      </c>
      <c r="F22" s="497">
        <v>64.608604727499994</v>
      </c>
      <c r="G22" s="497">
        <v>78.28359371549999</v>
      </c>
      <c r="H22" s="497">
        <v>56.018604897499998</v>
      </c>
      <c r="I22" s="497">
        <v>52.28127428082</v>
      </c>
      <c r="J22" s="497">
        <v>47.165707997499993</v>
      </c>
      <c r="K22" s="497">
        <v>64.281004459499997</v>
      </c>
      <c r="L22" s="497">
        <v>58.076213123999992</v>
      </c>
      <c r="M22" s="497">
        <v>67.250823874000005</v>
      </c>
      <c r="N22" s="497">
        <v>106.88892439750001</v>
      </c>
      <c r="O22" s="498">
        <f t="shared" si="5"/>
        <v>757.73438844431996</v>
      </c>
      <c r="P22" s="2"/>
      <c r="Q22" s="23"/>
    </row>
    <row r="23" spans="1:18" ht="15.75">
      <c r="A23" s="2"/>
      <c r="B23" s="371" t="s">
        <v>326</v>
      </c>
      <c r="C23" s="497">
        <v>0.81698018000000006</v>
      </c>
      <c r="D23" s="497">
        <v>4.1963333499999997</v>
      </c>
      <c r="E23" s="497">
        <v>6.3645245999999993</v>
      </c>
      <c r="F23" s="497">
        <v>6.5999221099999996</v>
      </c>
      <c r="G23" s="497">
        <v>3.4935243300000001</v>
      </c>
      <c r="H23" s="497">
        <v>5.7239234100000003</v>
      </c>
      <c r="I23" s="497">
        <v>3.4566505100000002</v>
      </c>
      <c r="J23" s="497">
        <v>9.2902444399999986</v>
      </c>
      <c r="K23" s="497">
        <v>7.2919317800000005</v>
      </c>
      <c r="L23" s="497">
        <v>5.3208875799999991</v>
      </c>
      <c r="M23" s="497">
        <v>4.0515666299999999</v>
      </c>
      <c r="N23" s="497">
        <v>2.76707371</v>
      </c>
      <c r="O23" s="498">
        <f t="shared" si="5"/>
        <v>59.373562629999988</v>
      </c>
      <c r="P23" s="2"/>
    </row>
    <row r="24" spans="1:18" ht="21" customHeight="1">
      <c r="A24" s="2"/>
      <c r="B24" s="376" t="s">
        <v>327</v>
      </c>
      <c r="C24" s="497">
        <v>0</v>
      </c>
      <c r="D24" s="497">
        <v>-6.0459299999999997E-3</v>
      </c>
      <c r="E24" s="497">
        <v>0</v>
      </c>
      <c r="F24" s="497">
        <v>-1.0500000000000001E-2</v>
      </c>
      <c r="G24" s="497">
        <v>0</v>
      </c>
      <c r="H24" s="497">
        <v>-0.22756295000000001</v>
      </c>
      <c r="I24" s="497">
        <v>-3.225E-3</v>
      </c>
      <c r="J24" s="497">
        <v>-3.5459300000000001E-3</v>
      </c>
      <c r="K24" s="497">
        <v>0</v>
      </c>
      <c r="L24" s="497">
        <v>0</v>
      </c>
      <c r="M24" s="497">
        <v>0</v>
      </c>
      <c r="N24" s="497">
        <v>-0.22462177999999999</v>
      </c>
      <c r="O24" s="498">
        <f t="shared" si="5"/>
        <v>-0.47550159000000003</v>
      </c>
      <c r="P24" s="2"/>
    </row>
    <row r="25" spans="1:18" ht="24.95" customHeight="1">
      <c r="A25" s="2"/>
      <c r="B25" s="390" t="s">
        <v>269</v>
      </c>
      <c r="C25" s="494">
        <f t="shared" ref="C25:N25" si="8">C8-C15</f>
        <v>39.504132627684953</v>
      </c>
      <c r="D25" s="494">
        <f t="shared" si="8"/>
        <v>47.028410307500053</v>
      </c>
      <c r="E25" s="494">
        <f t="shared" si="8"/>
        <v>57.594754178500068</v>
      </c>
      <c r="F25" s="494">
        <f t="shared" si="8"/>
        <v>277.61687360750005</v>
      </c>
      <c r="G25" s="494">
        <f t="shared" si="8"/>
        <v>147.96709751250006</v>
      </c>
      <c r="H25" s="494">
        <f t="shared" si="8"/>
        <v>-30.957581062499969</v>
      </c>
      <c r="I25" s="494">
        <f t="shared" si="8"/>
        <v>3.7285067775000016</v>
      </c>
      <c r="J25" s="494">
        <f t="shared" si="8"/>
        <v>39.920634035500029</v>
      </c>
      <c r="K25" s="494">
        <f t="shared" si="8"/>
        <v>14.689945413500084</v>
      </c>
      <c r="L25" s="494">
        <f t="shared" si="8"/>
        <v>66.990278180000018</v>
      </c>
      <c r="M25" s="494">
        <f t="shared" si="8"/>
        <v>86.577407569000059</v>
      </c>
      <c r="N25" s="494">
        <f t="shared" si="8"/>
        <v>-210.40941746249996</v>
      </c>
      <c r="O25" s="495">
        <f>SUM(C25:N25)</f>
        <v>540.25104168418534</v>
      </c>
      <c r="P25" s="2"/>
    </row>
    <row r="26" spans="1:18" ht="24.95" customHeight="1">
      <c r="A26" s="2"/>
      <c r="B26" s="396" t="s">
        <v>735</v>
      </c>
      <c r="C26" s="494"/>
      <c r="D26" s="494"/>
      <c r="E26" s="494"/>
      <c r="F26" s="494"/>
      <c r="G26" s="494"/>
      <c r="H26" s="494"/>
      <c r="I26" s="494"/>
      <c r="J26" s="494"/>
      <c r="K26" s="494"/>
      <c r="L26" s="494"/>
      <c r="M26" s="494"/>
      <c r="N26" s="494"/>
      <c r="O26" s="495"/>
      <c r="P26" s="2"/>
    </row>
    <row r="27" spans="1:18" ht="21" customHeight="1">
      <c r="A27" s="2"/>
      <c r="B27" s="399" t="s">
        <v>737</v>
      </c>
      <c r="C27" s="494">
        <f>C30+C19</f>
        <v>131.90198149999989</v>
      </c>
      <c r="D27" s="494">
        <f>D30+D19</f>
        <v>29.051633250000116</v>
      </c>
      <c r="E27" s="494">
        <f t="shared" ref="E27:M27" si="9">E30+E19</f>
        <v>23.609594488000063</v>
      </c>
      <c r="F27" s="494">
        <f t="shared" si="9"/>
        <v>268.00221169000008</v>
      </c>
      <c r="G27" s="494">
        <f t="shared" si="9"/>
        <v>112.87806342700006</v>
      </c>
      <c r="H27" s="494">
        <f t="shared" si="9"/>
        <v>-19.798473589999958</v>
      </c>
      <c r="I27" s="494">
        <f t="shared" si="9"/>
        <v>83.624355776679977</v>
      </c>
      <c r="J27" s="494">
        <f t="shared" si="9"/>
        <v>16.052985248000006</v>
      </c>
      <c r="K27" s="494">
        <f t="shared" si="9"/>
        <v>-24.637049915999921</v>
      </c>
      <c r="L27" s="494">
        <f t="shared" si="9"/>
        <v>42.796064956000045</v>
      </c>
      <c r="M27" s="494">
        <f t="shared" si="9"/>
        <v>63.838590396000065</v>
      </c>
      <c r="N27" s="494">
        <f>N30+N19</f>
        <v>-252.46273965</v>
      </c>
      <c r="O27" s="495">
        <f t="shared" ref="O27:O28" si="10">SUM(C27:N27)</f>
        <v>474.85721757568047</v>
      </c>
      <c r="P27" s="2"/>
    </row>
    <row r="28" spans="1:18" ht="21" customHeight="1">
      <c r="A28" s="2"/>
      <c r="B28" s="399" t="s">
        <v>736</v>
      </c>
      <c r="C28" s="494">
        <f>C27-C49</f>
        <v>91.716663799999893</v>
      </c>
      <c r="D28" s="494">
        <f>D27-D49</f>
        <v>-10.875891699999883</v>
      </c>
      <c r="E28" s="494">
        <f t="shared" ref="E28:M28" si="11">E27-E49</f>
        <v>-16.515573271999934</v>
      </c>
      <c r="F28" s="494">
        <f t="shared" si="11"/>
        <v>227.47210509000007</v>
      </c>
      <c r="G28" s="494">
        <f t="shared" si="11"/>
        <v>71.904279057000053</v>
      </c>
      <c r="H28" s="494">
        <f t="shared" si="11"/>
        <v>-60.485440299999958</v>
      </c>
      <c r="I28" s="494">
        <f t="shared" si="11"/>
        <v>42.454176086679979</v>
      </c>
      <c r="J28" s="494">
        <f t="shared" si="11"/>
        <v>-25.373271791999997</v>
      </c>
      <c r="K28" s="494">
        <f t="shared" si="11"/>
        <v>-66.124539115999923</v>
      </c>
      <c r="L28" s="494">
        <f t="shared" si="11"/>
        <v>-0.174827933999957</v>
      </c>
      <c r="M28" s="494">
        <f t="shared" si="11"/>
        <v>15.292972736000067</v>
      </c>
      <c r="N28" s="494">
        <f>N27-N49</f>
        <v>-314.31778011</v>
      </c>
      <c r="O28" s="495">
        <f t="shared" si="10"/>
        <v>-45.027127454319611</v>
      </c>
      <c r="P28" s="2"/>
    </row>
    <row r="29" spans="1:18" ht="24.95" customHeight="1">
      <c r="A29" s="2"/>
      <c r="B29" s="397" t="s">
        <v>328</v>
      </c>
      <c r="C29" s="497"/>
      <c r="D29" s="497"/>
      <c r="E29" s="497"/>
      <c r="F29" s="497"/>
      <c r="G29" s="497"/>
      <c r="H29" s="497"/>
      <c r="I29" s="497"/>
      <c r="J29" s="497"/>
      <c r="K29" s="497"/>
      <c r="L29" s="497"/>
      <c r="M29" s="497"/>
      <c r="N29" s="497"/>
      <c r="O29" s="495"/>
      <c r="P29" s="2"/>
    </row>
    <row r="30" spans="1:18" ht="21" customHeight="1">
      <c r="A30" s="2"/>
      <c r="B30" s="399" t="s">
        <v>329</v>
      </c>
      <c r="C30" s="494">
        <f t="shared" ref="C30:N30" si="12">C7-C14</f>
        <v>-13.365409844815076</v>
      </c>
      <c r="D30" s="494">
        <f t="shared" si="12"/>
        <v>0.70441173000011759</v>
      </c>
      <c r="E30" s="494">
        <f t="shared" si="12"/>
        <v>-8.0621187419999387</v>
      </c>
      <c r="F30" s="494">
        <f t="shared" si="12"/>
        <v>210.16291366000007</v>
      </c>
      <c r="G30" s="494">
        <f t="shared" si="12"/>
        <v>69.588983197000061</v>
      </c>
      <c r="H30" s="494">
        <f t="shared" si="12"/>
        <v>-88.970567219999964</v>
      </c>
      <c r="I30" s="494">
        <f t="shared" si="12"/>
        <v>-45.96887686332002</v>
      </c>
      <c r="J30" s="494">
        <f t="shared" si="12"/>
        <v>-13.645698331999995</v>
      </c>
      <c r="K30" s="494">
        <f t="shared" si="12"/>
        <v>-52.665897665999921</v>
      </c>
      <c r="L30" s="494">
        <f t="shared" si="12"/>
        <v>6.8790774360000455</v>
      </c>
      <c r="M30" s="494">
        <f t="shared" si="12"/>
        <v>20.172331305000057</v>
      </c>
      <c r="N30" s="494">
        <f t="shared" si="12"/>
        <v>-315.24518279</v>
      </c>
      <c r="O30" s="495">
        <f t="shared" ref="O30:O44" si="13">SUM(C30:N30)</f>
        <v>-230.41603413013456</v>
      </c>
      <c r="P30" s="2"/>
    </row>
    <row r="31" spans="1:18" ht="21" customHeight="1">
      <c r="A31" s="2"/>
      <c r="B31" s="399" t="s">
        <v>330</v>
      </c>
      <c r="C31" s="494">
        <f t="shared" ref="C31:N31" si="14">C30-C13</f>
        <v>-16.582193194815076</v>
      </c>
      <c r="D31" s="494">
        <f t="shared" si="14"/>
        <v>-2.5045986899998822</v>
      </c>
      <c r="E31" s="494">
        <f t="shared" si="14"/>
        <v>-10.99634017199994</v>
      </c>
      <c r="F31" s="494">
        <f t="shared" si="14"/>
        <v>206.42134677000007</v>
      </c>
      <c r="G31" s="494">
        <f t="shared" si="14"/>
        <v>66.190721947000057</v>
      </c>
      <c r="H31" s="494">
        <f t="shared" si="14"/>
        <v>-92.472546419999958</v>
      </c>
      <c r="I31" s="494">
        <f t="shared" si="14"/>
        <v>-52.006193013320022</v>
      </c>
      <c r="J31" s="494">
        <f t="shared" si="14"/>
        <v>-16.531772471999993</v>
      </c>
      <c r="K31" s="494">
        <f t="shared" si="14"/>
        <v>-56.857730665999924</v>
      </c>
      <c r="L31" s="494">
        <f t="shared" si="14"/>
        <v>3.5931774760000459</v>
      </c>
      <c r="M31" s="494">
        <f t="shared" si="14"/>
        <v>15.275017065000057</v>
      </c>
      <c r="N31" s="494">
        <f t="shared" si="14"/>
        <v>-319.84079379000002</v>
      </c>
      <c r="O31" s="495">
        <f t="shared" si="13"/>
        <v>-276.31190516013459</v>
      </c>
      <c r="P31" s="2"/>
    </row>
    <row r="32" spans="1:18" ht="21" customHeight="1">
      <c r="A32" s="2"/>
      <c r="B32" s="399" t="s">
        <v>355</v>
      </c>
      <c r="C32" s="494">
        <f t="shared" ref="C32:N32" si="15">C30-C49</f>
        <v>-53.550727544815075</v>
      </c>
      <c r="D32" s="494">
        <f t="shared" si="15"/>
        <v>-39.223113219999881</v>
      </c>
      <c r="E32" s="494">
        <f t="shared" si="15"/>
        <v>-48.187286501999935</v>
      </c>
      <c r="F32" s="494">
        <f t="shared" si="15"/>
        <v>169.63280706000006</v>
      </c>
      <c r="G32" s="494">
        <f t="shared" si="15"/>
        <v>28.615198827000057</v>
      </c>
      <c r="H32" s="494">
        <f t="shared" si="15"/>
        <v>-129.65753392999997</v>
      </c>
      <c r="I32" s="494">
        <f t="shared" si="15"/>
        <v>-87.139056553320017</v>
      </c>
      <c r="J32" s="494">
        <f t="shared" si="15"/>
        <v>-55.071955371999998</v>
      </c>
      <c r="K32" s="494">
        <f t="shared" si="15"/>
        <v>-94.15338686599992</v>
      </c>
      <c r="L32" s="494">
        <f t="shared" si="15"/>
        <v>-36.091815453999956</v>
      </c>
      <c r="M32" s="494">
        <f t="shared" si="15"/>
        <v>-28.373286354999941</v>
      </c>
      <c r="N32" s="494">
        <f t="shared" si="15"/>
        <v>-377.10022325</v>
      </c>
      <c r="O32" s="495">
        <f t="shared" si="13"/>
        <v>-750.30037916013453</v>
      </c>
      <c r="P32" s="2"/>
      <c r="R32" s="23">
        <f>+O32+O19</f>
        <v>-45.027127454319611</v>
      </c>
    </row>
    <row r="33" spans="1:18" ht="24.95" customHeight="1">
      <c r="A33" s="2"/>
      <c r="B33" s="390" t="s">
        <v>332</v>
      </c>
      <c r="C33" s="494">
        <f>SUM(C34:C35)</f>
        <v>43.22683791</v>
      </c>
      <c r="D33" s="494">
        <f t="shared" ref="D33:N33" si="16">SUM(D34:D35)</f>
        <v>1.1968501499999959</v>
      </c>
      <c r="E33" s="494">
        <f t="shared" si="16"/>
        <v>-0.60800000000000054</v>
      </c>
      <c r="F33" s="494">
        <f t="shared" si="16"/>
        <v>-17.396661609999999</v>
      </c>
      <c r="G33" s="494">
        <f t="shared" si="16"/>
        <v>-11.61397083</v>
      </c>
      <c r="H33" s="494">
        <f t="shared" si="16"/>
        <v>-54.162721839999996</v>
      </c>
      <c r="I33" s="494">
        <f t="shared" si="16"/>
        <v>61.830407530000002</v>
      </c>
      <c r="J33" s="494">
        <f t="shared" si="16"/>
        <v>-19.410076979999992</v>
      </c>
      <c r="K33" s="494">
        <f t="shared" si="16"/>
        <v>0.33339831000000686</v>
      </c>
      <c r="L33" s="494">
        <f t="shared" si="16"/>
        <v>-11.490359189999998</v>
      </c>
      <c r="M33" s="494">
        <f t="shared" si="16"/>
        <v>20.000281620000003</v>
      </c>
      <c r="N33" s="494">
        <f t="shared" si="16"/>
        <v>107.02615491</v>
      </c>
      <c r="O33" s="495">
        <f t="shared" si="13"/>
        <v>118.93213998000003</v>
      </c>
      <c r="P33" s="2"/>
    </row>
    <row r="34" spans="1:18" ht="15.75">
      <c r="A34" s="2"/>
      <c r="B34" s="376" t="s">
        <v>276</v>
      </c>
      <c r="C34" s="497">
        <v>57.772803400000001</v>
      </c>
      <c r="D34" s="497">
        <v>36.799999999999997</v>
      </c>
      <c r="E34" s="497">
        <v>14.39</v>
      </c>
      <c r="F34" s="497">
        <v>4.4379936100000004</v>
      </c>
      <c r="G34" s="497">
        <v>12.72635734</v>
      </c>
      <c r="H34" s="497">
        <v>32.85699193</v>
      </c>
      <c r="I34" s="497">
        <v>77.905408590000008</v>
      </c>
      <c r="J34" s="497">
        <v>19.674700000000001</v>
      </c>
      <c r="K34" s="497">
        <v>102.67118497000001</v>
      </c>
      <c r="L34" s="497">
        <v>13.67551132</v>
      </c>
      <c r="M34" s="497">
        <v>44.788563100000005</v>
      </c>
      <c r="N34" s="497">
        <v>196.84190538999999</v>
      </c>
      <c r="O34" s="498">
        <f t="shared" si="13"/>
        <v>614.54141964999997</v>
      </c>
      <c r="P34" s="2"/>
    </row>
    <row r="35" spans="1:18" ht="15.75">
      <c r="A35" s="2"/>
      <c r="B35" s="376" t="s">
        <v>277</v>
      </c>
      <c r="C35" s="497">
        <v>-14.545965489999999</v>
      </c>
      <c r="D35" s="497">
        <v>-35.603149850000001</v>
      </c>
      <c r="E35" s="497">
        <v>-14.998000000000001</v>
      </c>
      <c r="F35" s="497">
        <v>-21.834655219999998</v>
      </c>
      <c r="G35" s="497">
        <v>-24.340328169999999</v>
      </c>
      <c r="H35" s="497">
        <v>-87.019713769999996</v>
      </c>
      <c r="I35" s="497">
        <v>-16.075001060000002</v>
      </c>
      <c r="J35" s="497">
        <v>-39.084776979999994</v>
      </c>
      <c r="K35" s="497">
        <v>-102.33778666000001</v>
      </c>
      <c r="L35" s="497">
        <v>-25.165870509999998</v>
      </c>
      <c r="M35" s="497">
        <v>-24.788281480000002</v>
      </c>
      <c r="N35" s="497">
        <v>-89.815750479999991</v>
      </c>
      <c r="O35" s="498">
        <f t="shared" si="13"/>
        <v>-495.60927966999998</v>
      </c>
      <c r="P35" s="2"/>
    </row>
    <row r="36" spans="1:18" ht="24.95" customHeight="1">
      <c r="A36" s="2"/>
      <c r="B36" s="390" t="s">
        <v>333</v>
      </c>
      <c r="C36" s="494">
        <f>SUM(C37:C43)</f>
        <v>-29.861428065184928</v>
      </c>
      <c r="D36" s="494">
        <f t="shared" ref="D36:N36" si="17">SUM(D37:D43)</f>
        <v>-1.9012618800001206</v>
      </c>
      <c r="E36" s="494">
        <f t="shared" si="17"/>
        <v>8.6701187419999357</v>
      </c>
      <c r="F36" s="494">
        <f t="shared" si="17"/>
        <v>-192.76625205000005</v>
      </c>
      <c r="G36" s="494">
        <f t="shared" si="17"/>
        <v>-57.975012367000062</v>
      </c>
      <c r="H36" s="494">
        <f t="shared" si="17"/>
        <v>143.13328905999995</v>
      </c>
      <c r="I36" s="494">
        <f t="shared" si="17"/>
        <v>-15.861530666679982</v>
      </c>
      <c r="J36" s="494">
        <f t="shared" si="17"/>
        <v>33.055775311999987</v>
      </c>
      <c r="K36" s="494">
        <f t="shared" si="17"/>
        <v>52.332499355999914</v>
      </c>
      <c r="L36" s="494">
        <f t="shared" si="17"/>
        <v>4.6112817539999611</v>
      </c>
      <c r="M36" s="494">
        <f t="shared" si="17"/>
        <v>-40.172612925000067</v>
      </c>
      <c r="N36" s="494">
        <f t="shared" si="17"/>
        <v>208.21902787999997</v>
      </c>
      <c r="O36" s="495">
        <f t="shared" si="13"/>
        <v>111.48389415013447</v>
      </c>
      <c r="P36" s="2"/>
    </row>
    <row r="37" spans="1:18" ht="15.75">
      <c r="A37" s="2"/>
      <c r="B37" s="376" t="s">
        <v>279</v>
      </c>
      <c r="C37" s="497">
        <v>-25.098000000000003</v>
      </c>
      <c r="D37" s="497">
        <v>-0.88000000000000012</v>
      </c>
      <c r="E37" s="497">
        <v>-17.707000000000001</v>
      </c>
      <c r="F37" s="497">
        <v>18.688000000000002</v>
      </c>
      <c r="G37" s="497">
        <v>-157.053</v>
      </c>
      <c r="H37" s="497">
        <v>128.31</v>
      </c>
      <c r="I37" s="497">
        <v>-118.813</v>
      </c>
      <c r="J37" s="497">
        <v>-38.78</v>
      </c>
      <c r="K37" s="497">
        <v>28.843997529999999</v>
      </c>
      <c r="L37" s="497">
        <v>22.984356524999999</v>
      </c>
      <c r="M37" s="497">
        <v>-27.099999999999998</v>
      </c>
      <c r="N37" s="497">
        <v>70.088999999999999</v>
      </c>
      <c r="O37" s="498">
        <f t="shared" si="13"/>
        <v>-116.51564594499999</v>
      </c>
      <c r="P37" s="2"/>
    </row>
    <row r="38" spans="1:18" ht="15.75">
      <c r="A38" s="2"/>
      <c r="B38" s="376" t="s">
        <v>282</v>
      </c>
      <c r="C38" s="497">
        <v>16.82247628</v>
      </c>
      <c r="D38" s="497">
        <v>24.387992130000001</v>
      </c>
      <c r="E38" s="497">
        <v>-33.756186720000002</v>
      </c>
      <c r="F38" s="497">
        <v>-183.08942468999999</v>
      </c>
      <c r="G38" s="497">
        <v>160.36110632000003</v>
      </c>
      <c r="H38" s="497">
        <v>6.5758296700000045</v>
      </c>
      <c r="I38" s="497">
        <v>32.071688649999999</v>
      </c>
      <c r="J38" s="497">
        <v>41.672994209999992</v>
      </c>
      <c r="K38" s="497">
        <v>17.928490279999998</v>
      </c>
      <c r="L38" s="497">
        <v>11.339498109999997</v>
      </c>
      <c r="M38" s="497">
        <v>-13.201174709999997</v>
      </c>
      <c r="N38" s="497">
        <v>-9.3471781999999983</v>
      </c>
      <c r="O38" s="498">
        <f t="shared" si="13"/>
        <v>71.766111330000058</v>
      </c>
      <c r="P38" s="2"/>
    </row>
    <row r="39" spans="1:18" ht="15.75">
      <c r="A39" s="2"/>
      <c r="B39" s="376" t="s">
        <v>283</v>
      </c>
      <c r="C39" s="497">
        <v>0</v>
      </c>
      <c r="D39" s="497">
        <v>0</v>
      </c>
      <c r="E39" s="497">
        <v>0</v>
      </c>
      <c r="F39" s="497">
        <v>0</v>
      </c>
      <c r="G39" s="497">
        <v>0</v>
      </c>
      <c r="H39" s="497">
        <v>0</v>
      </c>
      <c r="I39" s="497">
        <v>0</v>
      </c>
      <c r="J39" s="497">
        <v>0</v>
      </c>
      <c r="K39" s="497">
        <v>0</v>
      </c>
      <c r="L39" s="497">
        <v>0</v>
      </c>
      <c r="M39" s="497">
        <v>0</v>
      </c>
      <c r="N39" s="497">
        <v>0</v>
      </c>
      <c r="O39" s="498">
        <f t="shared" si="13"/>
        <v>0</v>
      </c>
      <c r="P39" s="2"/>
    </row>
    <row r="40" spans="1:18" ht="15.75">
      <c r="A40" s="2"/>
      <c r="B40" s="376" t="s">
        <v>284</v>
      </c>
      <c r="C40" s="497">
        <v>24.557802459999994</v>
      </c>
      <c r="D40" s="497">
        <v>44.473427139999991</v>
      </c>
      <c r="E40" s="497">
        <v>74.092606660000001</v>
      </c>
      <c r="F40" s="497">
        <v>18.026689699999991</v>
      </c>
      <c r="G40" s="497">
        <v>-38.388154049999997</v>
      </c>
      <c r="H40" s="497">
        <v>36.605083299999997</v>
      </c>
      <c r="I40" s="497">
        <v>139.70660622999998</v>
      </c>
      <c r="J40" s="497">
        <v>51.810315500000002</v>
      </c>
      <c r="K40" s="497">
        <v>53.82893412</v>
      </c>
      <c r="L40" s="497">
        <v>24.428688510000004</v>
      </c>
      <c r="M40" s="497">
        <v>49.854422569999983</v>
      </c>
      <c r="N40" s="497">
        <v>128.17914208999997</v>
      </c>
      <c r="O40" s="498">
        <f t="shared" si="13"/>
        <v>607.17556422999996</v>
      </c>
      <c r="P40" s="2"/>
    </row>
    <row r="41" spans="1:18" ht="15.75">
      <c r="A41" s="2"/>
      <c r="B41" s="376" t="s">
        <v>334</v>
      </c>
      <c r="C41" s="497">
        <v>0</v>
      </c>
      <c r="D41" s="497">
        <v>0</v>
      </c>
      <c r="E41" s="497">
        <v>0</v>
      </c>
      <c r="F41" s="497">
        <v>0</v>
      </c>
      <c r="G41" s="497">
        <v>0</v>
      </c>
      <c r="H41" s="497">
        <v>0</v>
      </c>
      <c r="I41" s="497">
        <v>0</v>
      </c>
      <c r="J41" s="497">
        <v>0</v>
      </c>
      <c r="K41" s="497">
        <v>0</v>
      </c>
      <c r="L41" s="497">
        <v>0</v>
      </c>
      <c r="M41" s="497">
        <v>0</v>
      </c>
      <c r="N41" s="497">
        <v>0</v>
      </c>
      <c r="O41" s="498">
        <f t="shared" si="13"/>
        <v>0</v>
      </c>
      <c r="P41" s="2"/>
    </row>
    <row r="42" spans="1:18" ht="15.75">
      <c r="A42" s="2"/>
      <c r="B42" s="376" t="s">
        <v>335</v>
      </c>
      <c r="C42" s="497">
        <v>-40.185317699999999</v>
      </c>
      <c r="D42" s="497">
        <v>-39.927524949999999</v>
      </c>
      <c r="E42" s="497">
        <v>-40.125167759999997</v>
      </c>
      <c r="F42" s="497">
        <v>-40.530106599999996</v>
      </c>
      <c r="G42" s="497">
        <v>-40.973784370000004</v>
      </c>
      <c r="H42" s="497">
        <v>-40.68696671</v>
      </c>
      <c r="I42" s="497">
        <v>-41.170179689999998</v>
      </c>
      <c r="J42" s="497">
        <v>-41.426257040000003</v>
      </c>
      <c r="K42" s="497">
        <v>-41.487489199999999</v>
      </c>
      <c r="L42" s="497">
        <v>-42.970892890000002</v>
      </c>
      <c r="M42" s="497">
        <v>-48.545617659999998</v>
      </c>
      <c r="N42" s="497">
        <v>-61.855040459999998</v>
      </c>
      <c r="O42" s="498">
        <f t="shared" si="13"/>
        <v>-519.88434503000008</v>
      </c>
      <c r="P42" s="2"/>
    </row>
    <row r="43" spans="1:18" ht="15.75">
      <c r="A43" s="2"/>
      <c r="B43" s="376" t="s">
        <v>336</v>
      </c>
      <c r="C43" s="497">
        <v>-5.9583891051849207</v>
      </c>
      <c r="D43" s="497">
        <v>-29.955156200000111</v>
      </c>
      <c r="E43" s="497">
        <v>26.165866561999934</v>
      </c>
      <c r="F43" s="497">
        <v>-5.8614104600000587</v>
      </c>
      <c r="G43" s="497">
        <v>18.078819732999904</v>
      </c>
      <c r="H43" s="497">
        <v>12.329342799999949</v>
      </c>
      <c r="I43" s="497">
        <v>-27.656645856679958</v>
      </c>
      <c r="J43" s="497">
        <v>19.778722641999998</v>
      </c>
      <c r="K43" s="497">
        <v>-6.7814333740000876</v>
      </c>
      <c r="L43" s="497">
        <v>-11.170368501000041</v>
      </c>
      <c r="M43" s="497">
        <v>-1.1802431250000502</v>
      </c>
      <c r="N43" s="497">
        <v>81.153104450000001</v>
      </c>
      <c r="O43" s="498">
        <f t="shared" si="13"/>
        <v>68.942209565134561</v>
      </c>
      <c r="P43" s="2"/>
    </row>
    <row r="44" spans="1:18" ht="24.95" customHeight="1" thickBot="1">
      <c r="A44" s="2"/>
      <c r="B44" s="377" t="s">
        <v>337</v>
      </c>
      <c r="C44" s="499">
        <f t="shared" ref="C44:N44" si="18">-C30-C33-C36</f>
        <v>0</v>
      </c>
      <c r="D44" s="499">
        <f t="shared" si="18"/>
        <v>7.1054273576010019E-15</v>
      </c>
      <c r="E44" s="499">
        <f t="shared" si="18"/>
        <v>0</v>
      </c>
      <c r="F44" s="499">
        <f t="shared" si="18"/>
        <v>0</v>
      </c>
      <c r="G44" s="499">
        <f t="shared" si="18"/>
        <v>0</v>
      </c>
      <c r="H44" s="499">
        <f t="shared" si="18"/>
        <v>0</v>
      </c>
      <c r="I44" s="499">
        <f t="shared" si="18"/>
        <v>0</v>
      </c>
      <c r="J44" s="499">
        <f t="shared" si="18"/>
        <v>0</v>
      </c>
      <c r="K44" s="499">
        <f t="shared" si="18"/>
        <v>0</v>
      </c>
      <c r="L44" s="499">
        <f t="shared" si="18"/>
        <v>-8.8817841970012523E-15</v>
      </c>
      <c r="M44" s="499">
        <f t="shared" si="18"/>
        <v>0</v>
      </c>
      <c r="N44" s="499">
        <f t="shared" si="18"/>
        <v>0</v>
      </c>
      <c r="O44" s="500">
        <f t="shared" si="13"/>
        <v>-1.7763568394002505E-15</v>
      </c>
      <c r="P44" s="2"/>
      <c r="R44">
        <v>0</v>
      </c>
    </row>
    <row r="45" spans="1:18" ht="15.75">
      <c r="A45" s="2"/>
      <c r="B45" s="48" t="s">
        <v>338</v>
      </c>
      <c r="C45" s="354"/>
      <c r="D45" s="354"/>
      <c r="E45" s="354"/>
      <c r="F45" s="354"/>
      <c r="G45" s="354"/>
      <c r="H45" s="354"/>
      <c r="I45" s="354"/>
      <c r="J45" s="354"/>
      <c r="K45" s="354"/>
      <c r="L45" s="354"/>
      <c r="M45" s="354"/>
      <c r="N45" s="354"/>
      <c r="O45" s="2"/>
      <c r="P45" s="2"/>
    </row>
    <row r="46" spans="1:18" ht="15.75">
      <c r="A46" s="2"/>
      <c r="B46" s="48" t="s">
        <v>356</v>
      </c>
      <c r="C46" s="354"/>
      <c r="D46" s="354"/>
      <c r="E46" s="354"/>
      <c r="F46" s="354"/>
      <c r="G46" s="354"/>
      <c r="H46" s="354"/>
      <c r="I46" s="354"/>
      <c r="J46" s="354"/>
      <c r="K46" s="354"/>
      <c r="L46" s="354"/>
      <c r="M46" s="354"/>
      <c r="N46" s="354"/>
      <c r="O46" s="2"/>
      <c r="P46" s="2"/>
    </row>
    <row r="47" spans="1:18">
      <c r="A47" s="2"/>
      <c r="B47" s="329"/>
      <c r="C47" s="2"/>
      <c r="D47" s="2"/>
      <c r="E47" s="2"/>
      <c r="F47" s="2"/>
      <c r="G47" s="2"/>
      <c r="H47" s="2"/>
      <c r="I47" s="2"/>
      <c r="J47" s="2"/>
      <c r="K47" s="2"/>
      <c r="L47" s="2"/>
      <c r="M47" s="2"/>
      <c r="N47" s="2"/>
      <c r="O47" s="2"/>
      <c r="P47" s="2"/>
    </row>
    <row r="48" spans="1:18" ht="16.5" thickBot="1">
      <c r="A48" s="2"/>
      <c r="B48" s="353" t="s">
        <v>340</v>
      </c>
      <c r="C48" s="2"/>
      <c r="D48" s="2"/>
      <c r="E48" s="2"/>
      <c r="F48" s="2"/>
      <c r="G48" s="2"/>
      <c r="H48" s="2"/>
      <c r="I48" s="2"/>
      <c r="J48" s="2"/>
      <c r="K48" s="2"/>
      <c r="L48" s="2"/>
      <c r="M48" s="2"/>
      <c r="N48" s="2"/>
      <c r="O48" s="2"/>
      <c r="P48" s="2"/>
    </row>
    <row r="49" spans="1:16" ht="24.95" customHeight="1" thickBot="1">
      <c r="A49" s="2"/>
      <c r="B49" s="407" t="s">
        <v>357</v>
      </c>
      <c r="C49" s="501">
        <v>40.185317699999999</v>
      </c>
      <c r="D49" s="502">
        <v>39.927524949999999</v>
      </c>
      <c r="E49" s="502">
        <v>40.125167759999997</v>
      </c>
      <c r="F49" s="502">
        <v>40.530106599999996</v>
      </c>
      <c r="G49" s="502">
        <v>40.973784370000004</v>
      </c>
      <c r="H49" s="502">
        <v>40.68696671</v>
      </c>
      <c r="I49" s="502">
        <v>41.170179689999998</v>
      </c>
      <c r="J49" s="502">
        <v>41.426257040000003</v>
      </c>
      <c r="K49" s="502">
        <v>41.487489199999999</v>
      </c>
      <c r="L49" s="502">
        <v>42.970892890000002</v>
      </c>
      <c r="M49" s="502">
        <v>48.545617659999998</v>
      </c>
      <c r="N49" s="503">
        <v>61.855040459999998</v>
      </c>
      <c r="O49" s="504">
        <f>SUM(C49:N49)</f>
        <v>519.88434503000008</v>
      </c>
      <c r="P49" s="2"/>
    </row>
    <row r="50" spans="1:16" ht="15.75">
      <c r="B50" s="353" t="s">
        <v>18</v>
      </c>
      <c r="C50" s="2"/>
      <c r="D50" s="2"/>
      <c r="E50" s="2"/>
      <c r="F50" s="2"/>
      <c r="G50" s="2"/>
      <c r="H50" s="2"/>
      <c r="I50" s="2"/>
      <c r="J50" s="2"/>
      <c r="K50" s="2"/>
      <c r="L50" s="2"/>
      <c r="M50" s="2"/>
      <c r="N50" s="2"/>
      <c r="O50" s="2"/>
    </row>
    <row r="51" spans="1:16" ht="15.75">
      <c r="B51" s="353" t="s">
        <v>569</v>
      </c>
      <c r="C51" s="2"/>
      <c r="D51" s="2"/>
      <c r="E51" s="2"/>
      <c r="F51" s="2"/>
      <c r="G51" s="2"/>
      <c r="H51" s="2"/>
      <c r="I51" s="2"/>
      <c r="J51" s="2"/>
      <c r="K51" s="2"/>
      <c r="L51" s="2"/>
      <c r="M51" s="2"/>
      <c r="N51" s="2"/>
      <c r="O51" s="2"/>
    </row>
    <row r="52" spans="1:16" ht="15.75">
      <c r="B52" s="353" t="s">
        <v>55</v>
      </c>
      <c r="C52" s="2"/>
      <c r="D52" s="2"/>
      <c r="E52" s="2"/>
      <c r="F52" s="2"/>
      <c r="G52" s="2"/>
      <c r="H52" s="2"/>
      <c r="I52" s="2"/>
      <c r="J52" s="2"/>
      <c r="K52" s="2"/>
      <c r="L52" s="2"/>
      <c r="M52" s="2"/>
      <c r="N52" s="2"/>
      <c r="O52" s="2"/>
    </row>
    <row r="53" spans="1:16" ht="15.75" thickBot="1">
      <c r="B53" s="2"/>
      <c r="C53" s="2"/>
      <c r="D53" s="2"/>
      <c r="E53" s="2"/>
      <c r="F53" s="2"/>
      <c r="G53" s="2"/>
      <c r="H53" s="2"/>
      <c r="I53" s="2"/>
      <c r="J53" s="2"/>
      <c r="K53" s="2"/>
      <c r="L53" s="2"/>
      <c r="M53" s="2"/>
      <c r="N53" s="2"/>
      <c r="O53" s="2"/>
    </row>
    <row r="54" spans="1:16"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519</v>
      </c>
    </row>
    <row r="55" spans="1:16" ht="15.75">
      <c r="B55" s="358"/>
      <c r="C55" s="359"/>
      <c r="D55" s="359"/>
      <c r="E55" s="359"/>
      <c r="F55" s="359"/>
      <c r="G55" s="359"/>
      <c r="H55" s="359"/>
      <c r="I55" s="359"/>
      <c r="J55" s="359"/>
      <c r="K55" s="359"/>
      <c r="L55" s="359"/>
      <c r="M55" s="359"/>
      <c r="N55" s="359"/>
      <c r="O55" s="360"/>
    </row>
    <row r="56" spans="1:16" ht="24.95" customHeight="1">
      <c r="B56" s="390" t="s">
        <v>239</v>
      </c>
      <c r="C56" s="391">
        <f t="shared" ref="C56:O56" si="19">C7/$O$93</f>
        <v>1.9664123308207174E-2</v>
      </c>
      <c r="D56" s="391">
        <f t="shared" si="19"/>
        <v>1.5410375517458523E-2</v>
      </c>
      <c r="E56" s="391">
        <f t="shared" si="19"/>
        <v>1.6843355251756328E-2</v>
      </c>
      <c r="F56" s="391">
        <f t="shared" si="19"/>
        <v>2.7350325508164037E-2</v>
      </c>
      <c r="G56" s="391">
        <f t="shared" si="19"/>
        <v>2.333953149795211E-2</v>
      </c>
      <c r="H56" s="391">
        <f t="shared" si="19"/>
        <v>1.6296523340748218E-2</v>
      </c>
      <c r="I56" s="391">
        <f t="shared" si="19"/>
        <v>1.6872238188863097E-2</v>
      </c>
      <c r="J56" s="391">
        <f t="shared" si="19"/>
        <v>1.5898641597227141E-2</v>
      </c>
      <c r="K56" s="391">
        <f t="shared" si="19"/>
        <v>1.5772598932852423E-2</v>
      </c>
      <c r="L56" s="391">
        <f t="shared" si="19"/>
        <v>1.6301989670909012E-2</v>
      </c>
      <c r="M56" s="391">
        <f t="shared" si="19"/>
        <v>1.7084702342168686E-2</v>
      </c>
      <c r="N56" s="391">
        <f t="shared" si="19"/>
        <v>2.0400822965118564E-2</v>
      </c>
      <c r="O56" s="392">
        <f t="shared" si="19"/>
        <v>0.22123522812142529</v>
      </c>
    </row>
    <row r="57" spans="1:16" ht="21" customHeight="1">
      <c r="B57" s="376" t="s">
        <v>240</v>
      </c>
      <c r="C57" s="393">
        <f t="shared" ref="C57:O57" si="20">C8/$O$93</f>
        <v>1.9530117818044215E-2</v>
      </c>
      <c r="D57" s="393">
        <f t="shared" si="20"/>
        <v>1.5276857436270681E-2</v>
      </c>
      <c r="E57" s="393">
        <f t="shared" si="20"/>
        <v>1.6721669069570358E-2</v>
      </c>
      <c r="F57" s="393">
        <f t="shared" si="20"/>
        <v>2.7195318062640274E-2</v>
      </c>
      <c r="G57" s="393">
        <f t="shared" si="20"/>
        <v>2.3198809950770286E-2</v>
      </c>
      <c r="H57" s="393">
        <f t="shared" si="20"/>
        <v>1.6151538524499555E-2</v>
      </c>
      <c r="I57" s="393">
        <f t="shared" si="20"/>
        <v>1.6622288339748392E-2</v>
      </c>
      <c r="J57" s="393">
        <f t="shared" si="20"/>
        <v>1.5779155756515145E-2</v>
      </c>
      <c r="K57" s="393">
        <f t="shared" si="20"/>
        <v>1.5598007811093021E-2</v>
      </c>
      <c r="L57" s="393">
        <f t="shared" si="20"/>
        <v>1.6165950712735848E-2</v>
      </c>
      <c r="M57" s="393">
        <f t="shared" si="20"/>
        <v>1.6881949508799954E-2</v>
      </c>
      <c r="N57" s="393">
        <f t="shared" si="20"/>
        <v>2.0210560893777495E-2</v>
      </c>
      <c r="O57" s="394">
        <f t="shared" si="20"/>
        <v>0.21933222388446519</v>
      </c>
    </row>
    <row r="58" spans="1:16" ht="18.75">
      <c r="B58" s="371" t="s">
        <v>351</v>
      </c>
      <c r="C58" s="393">
        <f t="shared" ref="C58:O58" si="21">C9/$O$93</f>
        <v>1.5935335656333437E-2</v>
      </c>
      <c r="D58" s="393">
        <f t="shared" si="21"/>
        <v>1.2448353464068848E-2</v>
      </c>
      <c r="E58" s="393">
        <f t="shared" si="21"/>
        <v>1.3213378142270613E-2</v>
      </c>
      <c r="F58" s="393">
        <f t="shared" si="21"/>
        <v>2.4144729362828937E-2</v>
      </c>
      <c r="G58" s="393">
        <f t="shared" si="21"/>
        <v>1.7190967770702378E-2</v>
      </c>
      <c r="H58" s="393">
        <f t="shared" si="21"/>
        <v>1.3225908018966543E-2</v>
      </c>
      <c r="I58" s="393">
        <f t="shared" si="21"/>
        <v>1.3492689355144943E-2</v>
      </c>
      <c r="J58" s="393">
        <f t="shared" si="21"/>
        <v>1.26734919932881E-2</v>
      </c>
      <c r="K58" s="393">
        <f t="shared" si="21"/>
        <v>1.251665288267711E-2</v>
      </c>
      <c r="L58" s="393">
        <f t="shared" si="21"/>
        <v>1.3363807380193268E-2</v>
      </c>
      <c r="M58" s="393">
        <f t="shared" si="21"/>
        <v>1.3596751251443341E-2</v>
      </c>
      <c r="N58" s="393">
        <f t="shared" si="21"/>
        <v>1.3654351164253203E-2</v>
      </c>
      <c r="O58" s="394">
        <f t="shared" si="21"/>
        <v>0.17545641644217075</v>
      </c>
    </row>
    <row r="59" spans="1:16" ht="15.75">
      <c r="B59" s="371" t="s">
        <v>317</v>
      </c>
      <c r="C59" s="393">
        <f t="shared" ref="C59:O59" si="22">C10/$O$93</f>
        <v>3.003103839470798E-3</v>
      </c>
      <c r="D59" s="393">
        <f t="shared" si="22"/>
        <v>2.4032333014961014E-3</v>
      </c>
      <c r="E59" s="393">
        <f t="shared" si="22"/>
        <v>3.0393035748367465E-3</v>
      </c>
      <c r="F59" s="393">
        <f t="shared" si="22"/>
        <v>2.6381467187157797E-3</v>
      </c>
      <c r="G59" s="393">
        <f t="shared" si="22"/>
        <v>5.4179632733311221E-3</v>
      </c>
      <c r="H59" s="393">
        <f t="shared" si="22"/>
        <v>2.4847531558811315E-3</v>
      </c>
      <c r="I59" s="393">
        <f t="shared" si="22"/>
        <v>2.573047739287434E-3</v>
      </c>
      <c r="J59" s="393">
        <f t="shared" si="22"/>
        <v>2.7204045162500298E-3</v>
      </c>
      <c r="K59" s="393">
        <f t="shared" si="22"/>
        <v>2.5422748298322725E-3</v>
      </c>
      <c r="L59" s="393">
        <f t="shared" si="22"/>
        <v>2.5040114353209455E-3</v>
      </c>
      <c r="M59" s="393">
        <f t="shared" si="22"/>
        <v>2.8318718988197037E-3</v>
      </c>
      <c r="N59" s="393">
        <f t="shared" si="22"/>
        <v>6.6691038142162968E-3</v>
      </c>
      <c r="O59" s="394">
        <f t="shared" si="22"/>
        <v>3.8827218097458364E-2</v>
      </c>
    </row>
    <row r="60" spans="1:16" ht="15.75">
      <c r="B60" s="371" t="s">
        <v>318</v>
      </c>
      <c r="C60" s="393">
        <f t="shared" ref="C60:O60" si="23">C11/$O$93</f>
        <v>5.9167832223998263E-4</v>
      </c>
      <c r="D60" s="393">
        <f t="shared" si="23"/>
        <v>4.2527067070573075E-4</v>
      </c>
      <c r="E60" s="393">
        <f t="shared" si="23"/>
        <v>4.6898735246299681E-4</v>
      </c>
      <c r="F60" s="393">
        <f t="shared" si="23"/>
        <v>4.1244198109555673E-4</v>
      </c>
      <c r="G60" s="393">
        <f t="shared" si="23"/>
        <v>5.8987890673678337E-4</v>
      </c>
      <c r="H60" s="393">
        <f t="shared" si="23"/>
        <v>4.4087734965188134E-4</v>
      </c>
      <c r="I60" s="393">
        <f t="shared" si="23"/>
        <v>5.5655124531601443E-4</v>
      </c>
      <c r="J60" s="393">
        <f t="shared" si="23"/>
        <v>3.8525924697701565E-4</v>
      </c>
      <c r="K60" s="393">
        <f t="shared" si="23"/>
        <v>5.3908009858363631E-4</v>
      </c>
      <c r="L60" s="393">
        <f t="shared" si="23"/>
        <v>2.9813189722163226E-4</v>
      </c>
      <c r="M60" s="393">
        <f t="shared" si="23"/>
        <v>4.5332635853691125E-4</v>
      </c>
      <c r="N60" s="393">
        <f t="shared" si="23"/>
        <v>-1.1289408469200489E-4</v>
      </c>
      <c r="O60" s="394">
        <f t="shared" si="23"/>
        <v>5.0485893448361362E-3</v>
      </c>
    </row>
    <row r="61" spans="1:16" ht="21" customHeight="1">
      <c r="B61" s="376" t="s">
        <v>244</v>
      </c>
      <c r="C61" s="393">
        <f t="shared" ref="C61:O61" si="24">C12/$O$93</f>
        <v>8.2801643281412566E-7</v>
      </c>
      <c r="D61" s="393">
        <f t="shared" si="24"/>
        <v>6.6241314625130053E-7</v>
      </c>
      <c r="E61" s="393">
        <f t="shared" si="24"/>
        <v>2.0700410820353142E-7</v>
      </c>
      <c r="F61" s="393">
        <f t="shared" si="24"/>
        <v>1.0350205410176571E-7</v>
      </c>
      <c r="G61" s="393">
        <f t="shared" si="24"/>
        <v>3.0739282051791597E-8</v>
      </c>
      <c r="H61" s="393">
        <f t="shared" si="24"/>
        <v>0</v>
      </c>
      <c r="I61" s="393">
        <f t="shared" si="24"/>
        <v>0</v>
      </c>
      <c r="J61" s="393">
        <f t="shared" si="24"/>
        <v>0</v>
      </c>
      <c r="K61" s="393">
        <f t="shared" si="24"/>
        <v>1.0457913787757031E-6</v>
      </c>
      <c r="L61" s="393">
        <f t="shared" si="24"/>
        <v>0</v>
      </c>
      <c r="M61" s="393">
        <f t="shared" si="24"/>
        <v>0</v>
      </c>
      <c r="N61" s="393">
        <f t="shared" si="24"/>
        <v>0</v>
      </c>
      <c r="O61" s="394">
        <f t="shared" si="24"/>
        <v>2.8774664021982183E-6</v>
      </c>
    </row>
    <row r="62" spans="1:16" ht="21" customHeight="1">
      <c r="B62" s="376" t="s">
        <v>245</v>
      </c>
      <c r="C62" s="393">
        <f t="shared" ref="C62:O62" si="25">C13/$O$93</f>
        <v>1.3317747373014366E-4</v>
      </c>
      <c r="D62" s="393">
        <f t="shared" si="25"/>
        <v>1.3285566804158795E-4</v>
      </c>
      <c r="E62" s="393">
        <f t="shared" si="25"/>
        <v>1.2147917807776813E-4</v>
      </c>
      <c r="F62" s="393">
        <f t="shared" si="25"/>
        <v>1.5490394346966209E-4</v>
      </c>
      <c r="G62" s="393">
        <f t="shared" si="25"/>
        <v>1.4069080789977357E-4</v>
      </c>
      <c r="H62" s="393">
        <f t="shared" si="25"/>
        <v>1.4498481624866327E-4</v>
      </c>
      <c r="I62" s="393">
        <f t="shared" si="25"/>
        <v>2.4994984911470548E-4</v>
      </c>
      <c r="J62" s="393">
        <f t="shared" si="25"/>
        <v>1.1948584071199476E-4</v>
      </c>
      <c r="K62" s="393">
        <f t="shared" si="25"/>
        <v>1.7354533038062674E-4</v>
      </c>
      <c r="L62" s="393">
        <f t="shared" si="25"/>
        <v>1.3603895817316389E-4</v>
      </c>
      <c r="M62" s="393">
        <f t="shared" si="25"/>
        <v>2.0275283336873104E-4</v>
      </c>
      <c r="N62" s="393">
        <f t="shared" si="25"/>
        <v>1.9026207134106786E-4</v>
      </c>
      <c r="O62" s="394">
        <f t="shared" si="25"/>
        <v>1.9001267705578886E-3</v>
      </c>
    </row>
    <row r="63" spans="1:16" ht="24.95" customHeight="1">
      <c r="B63" s="390" t="s">
        <v>246</v>
      </c>
      <c r="C63" s="391">
        <f t="shared" ref="C63:O63" si="26">C14/$O$93</f>
        <v>2.0217462257347302E-2</v>
      </c>
      <c r="D63" s="391">
        <f t="shared" si="26"/>
        <v>1.5381212293063166E-2</v>
      </c>
      <c r="E63" s="391">
        <f t="shared" si="26"/>
        <v>1.7177133591840064E-2</v>
      </c>
      <c r="F63" s="391">
        <f t="shared" si="26"/>
        <v>1.8649408204235222E-2</v>
      </c>
      <c r="G63" s="391">
        <f t="shared" si="26"/>
        <v>2.0458490416455005E-2</v>
      </c>
      <c r="H63" s="391">
        <f t="shared" si="26"/>
        <v>1.9979977925495905E-2</v>
      </c>
      <c r="I63" s="391">
        <f t="shared" si="26"/>
        <v>1.8775387460904996E-2</v>
      </c>
      <c r="J63" s="391">
        <f t="shared" si="26"/>
        <v>1.6463584720033154E-2</v>
      </c>
      <c r="K63" s="391">
        <f t="shared" si="26"/>
        <v>1.7953010368670176E-2</v>
      </c>
      <c r="L63" s="391">
        <f t="shared" si="26"/>
        <v>1.6017190212928564E-2</v>
      </c>
      <c r="M63" s="391">
        <f t="shared" si="26"/>
        <v>1.6249551251733142E-2</v>
      </c>
      <c r="N63" s="391">
        <f t="shared" si="26"/>
        <v>3.34522325508992E-2</v>
      </c>
      <c r="O63" s="392">
        <f t="shared" si="26"/>
        <v>0.23077464125360589</v>
      </c>
    </row>
    <row r="64" spans="1:16" ht="21" customHeight="1">
      <c r="B64" s="376" t="s">
        <v>247</v>
      </c>
      <c r="C64" s="393">
        <f t="shared" ref="C64:O64" si="27">C15/$O$93</f>
        <v>1.7894614269054625E-2</v>
      </c>
      <c r="D64" s="393">
        <f t="shared" si="27"/>
        <v>1.3329842609083918E-2</v>
      </c>
      <c r="E64" s="393">
        <f t="shared" si="27"/>
        <v>1.4337198924385954E-2</v>
      </c>
      <c r="F64" s="393">
        <f t="shared" si="27"/>
        <v>1.5701751393965666E-2</v>
      </c>
      <c r="G64" s="393">
        <f t="shared" si="27"/>
        <v>1.7072850537962276E-2</v>
      </c>
      <c r="H64" s="393">
        <f t="shared" si="27"/>
        <v>1.7433207816495825E-2</v>
      </c>
      <c r="I64" s="393">
        <f t="shared" si="27"/>
        <v>1.6467925095666948E-2</v>
      </c>
      <c r="J64" s="393">
        <f t="shared" si="27"/>
        <v>1.4126408707027501E-2</v>
      </c>
      <c r="K64" s="393">
        <f t="shared" si="27"/>
        <v>1.4989832001116993E-2</v>
      </c>
      <c r="L64" s="393">
        <f t="shared" si="27"/>
        <v>1.3392498154144368E-2</v>
      </c>
      <c r="M64" s="393">
        <f t="shared" si="27"/>
        <v>1.3297573699921048E-2</v>
      </c>
      <c r="N64" s="393">
        <f t="shared" si="27"/>
        <v>2.8921683657667365E-2</v>
      </c>
      <c r="O64" s="394">
        <f t="shared" si="27"/>
        <v>0.19696538686649248</v>
      </c>
    </row>
    <row r="65" spans="2:15" ht="15.75">
      <c r="B65" s="371" t="s">
        <v>321</v>
      </c>
      <c r="C65" s="393">
        <f t="shared" ref="C65:O65" si="28">C16/$O$93</f>
        <v>1.0216191166534392E-2</v>
      </c>
      <c r="D65" s="393">
        <f t="shared" si="28"/>
        <v>1.0957691481180636E-2</v>
      </c>
      <c r="E65" s="393">
        <f t="shared" si="28"/>
        <v>1.1209830322934688E-2</v>
      </c>
      <c r="F65" s="393">
        <f t="shared" si="28"/>
        <v>1.1743195128386019E-2</v>
      </c>
      <c r="G65" s="393">
        <f t="shared" si="28"/>
        <v>1.3147634659587954E-2</v>
      </c>
      <c r="H65" s="393">
        <f t="shared" si="28"/>
        <v>1.2121576285878467E-2</v>
      </c>
      <c r="I65" s="393">
        <f t="shared" si="28"/>
        <v>9.9611313578724277E-3</v>
      </c>
      <c r="J65" s="393">
        <f t="shared" si="28"/>
        <v>1.0694906747733615E-2</v>
      </c>
      <c r="K65" s="393">
        <f t="shared" si="28"/>
        <v>1.1202853669147816E-2</v>
      </c>
      <c r="L65" s="393">
        <f t="shared" si="28"/>
        <v>1.0551772557962184E-2</v>
      </c>
      <c r="M65" s="393">
        <f t="shared" si="28"/>
        <v>1.0059886081499173E-2</v>
      </c>
      <c r="N65" s="393">
        <f t="shared" si="28"/>
        <v>2.4394268072907673E-2</v>
      </c>
      <c r="O65" s="394">
        <f t="shared" si="28"/>
        <v>0.14626093753162506</v>
      </c>
    </row>
    <row r="66" spans="2:15" ht="15.75">
      <c r="B66" s="395" t="s">
        <v>322</v>
      </c>
      <c r="C66" s="393">
        <f t="shared" ref="C66:O66" si="29">C17/$O$93</f>
        <v>7.6322731878446367E-3</v>
      </c>
      <c r="D66" s="393">
        <f t="shared" si="29"/>
        <v>7.7352527449262264E-3</v>
      </c>
      <c r="E66" s="393">
        <f t="shared" si="29"/>
        <v>7.8106742931596321E-3</v>
      </c>
      <c r="F66" s="393">
        <f t="shared" si="29"/>
        <v>7.8966061494192899E-3</v>
      </c>
      <c r="G66" s="393">
        <f t="shared" si="29"/>
        <v>7.9627870835336095E-3</v>
      </c>
      <c r="H66" s="393">
        <f t="shared" si="29"/>
        <v>8.9499403026958944E-3</v>
      </c>
      <c r="I66" s="393">
        <f t="shared" si="29"/>
        <v>7.6546524275061265E-3</v>
      </c>
      <c r="J66" s="393">
        <f t="shared" si="29"/>
        <v>7.7265974327702406E-3</v>
      </c>
      <c r="K66" s="393">
        <f t="shared" si="29"/>
        <v>7.5634215588547861E-3</v>
      </c>
      <c r="L66" s="393">
        <f t="shared" si="29"/>
        <v>7.8128408549932079E-3</v>
      </c>
      <c r="M66" s="393">
        <f t="shared" si="29"/>
        <v>7.4746426976195759E-3</v>
      </c>
      <c r="N66" s="393">
        <f t="shared" si="29"/>
        <v>1.4669767303483756E-2</v>
      </c>
      <c r="O66" s="394">
        <f t="shared" si="29"/>
        <v>0.10088945603680698</v>
      </c>
    </row>
    <row r="67" spans="2:15" ht="15.75">
      <c r="B67" s="395" t="s">
        <v>323</v>
      </c>
      <c r="C67" s="393">
        <f t="shared" ref="C67:O67" si="30">C18/$O$93</f>
        <v>2.5839179786897549E-3</v>
      </c>
      <c r="D67" s="393">
        <f t="shared" si="30"/>
        <v>3.2224387362544083E-3</v>
      </c>
      <c r="E67" s="393">
        <f t="shared" si="30"/>
        <v>3.3991560297750565E-3</v>
      </c>
      <c r="F67" s="393">
        <f t="shared" si="30"/>
        <v>3.8465889789667264E-3</v>
      </c>
      <c r="G67" s="393">
        <f t="shared" si="30"/>
        <v>5.1848475760543451E-3</v>
      </c>
      <c r="H67" s="393">
        <f t="shared" si="30"/>
        <v>3.1716359831825717E-3</v>
      </c>
      <c r="I67" s="393">
        <f t="shared" si="30"/>
        <v>2.3064789303663021E-3</v>
      </c>
      <c r="J67" s="393">
        <f t="shared" si="30"/>
        <v>2.9683093149633745E-3</v>
      </c>
      <c r="K67" s="393">
        <f t="shared" si="30"/>
        <v>3.639432110293031E-3</v>
      </c>
      <c r="L67" s="393">
        <f t="shared" si="30"/>
        <v>2.7389317029689769E-3</v>
      </c>
      <c r="M67" s="393">
        <f t="shared" si="30"/>
        <v>2.5852433838795962E-3</v>
      </c>
      <c r="N67" s="393">
        <f t="shared" si="30"/>
        <v>9.7245007694239192E-3</v>
      </c>
      <c r="O67" s="394">
        <f t="shared" si="30"/>
        <v>4.537148149481806E-2</v>
      </c>
    </row>
    <row r="68" spans="2:15" ht="15.75">
      <c r="B68" s="371" t="s">
        <v>352</v>
      </c>
      <c r="C68" s="393">
        <f t="shared" ref="C68:O68" si="31">C19/$O$93</f>
        <v>6.0141893592773636E-3</v>
      </c>
      <c r="D68" s="393">
        <f t="shared" si="31"/>
        <v>1.1735982621591107E-3</v>
      </c>
      <c r="E68" s="393">
        <f t="shared" si="31"/>
        <v>1.3112349504908274E-3</v>
      </c>
      <c r="F68" s="393">
        <f t="shared" si="31"/>
        <v>2.3945944615636843E-3</v>
      </c>
      <c r="G68" s="393">
        <f t="shared" si="31"/>
        <v>1.7922034895924545E-3</v>
      </c>
      <c r="H68" s="393">
        <f t="shared" si="31"/>
        <v>2.8637815108898653E-3</v>
      </c>
      <c r="I68" s="393">
        <f t="shared" si="31"/>
        <v>5.3652663103711954E-3</v>
      </c>
      <c r="J68" s="393">
        <f t="shared" si="31"/>
        <v>1.2295499018593523E-3</v>
      </c>
      <c r="K68" s="393">
        <f t="shared" si="31"/>
        <v>1.1604173264922616E-3</v>
      </c>
      <c r="L68" s="393">
        <f t="shared" si="31"/>
        <v>1.4869927941869934E-3</v>
      </c>
      <c r="M68" s="393">
        <f t="shared" si="31"/>
        <v>1.8078190043433605E-3</v>
      </c>
      <c r="N68" s="393">
        <f t="shared" si="31"/>
        <v>2.5992447306069232E-3</v>
      </c>
      <c r="O68" s="394">
        <f t="shared" si="31"/>
        <v>2.919889210183339E-2</v>
      </c>
    </row>
    <row r="69" spans="2:15" ht="15.75">
      <c r="B69" s="371" t="s">
        <v>325</v>
      </c>
      <c r="C69" s="393">
        <f t="shared" ref="C69:O69" si="32">C20/$O$93</f>
        <v>1.6642337432428683E-3</v>
      </c>
      <c r="D69" s="393">
        <f t="shared" si="32"/>
        <v>1.1985528657441733E-3</v>
      </c>
      <c r="E69" s="393">
        <f t="shared" si="32"/>
        <v>1.8161336509604365E-3</v>
      </c>
      <c r="F69" s="393">
        <f t="shared" si="32"/>
        <v>1.5639618040159623E-3</v>
      </c>
      <c r="G69" s="393">
        <f t="shared" si="32"/>
        <v>2.1330123887818679E-3</v>
      </c>
      <c r="H69" s="393">
        <f t="shared" si="32"/>
        <v>2.4478500197274919E-3</v>
      </c>
      <c r="I69" s="393">
        <f t="shared" si="32"/>
        <v>1.1415274274233244E-3</v>
      </c>
      <c r="J69" s="393">
        <f t="shared" si="32"/>
        <v>2.201952057434532E-3</v>
      </c>
      <c r="K69" s="393">
        <f t="shared" si="32"/>
        <v>2.6265610054769148E-3</v>
      </c>
      <c r="L69" s="393">
        <f t="shared" si="32"/>
        <v>1.3537328019951884E-3</v>
      </c>
      <c r="M69" s="393">
        <f t="shared" si="32"/>
        <v>1.4298686140785152E-3</v>
      </c>
      <c r="N69" s="393">
        <f t="shared" si="32"/>
        <v>1.9281708541527716E-3</v>
      </c>
      <c r="O69" s="394">
        <f t="shared" si="32"/>
        <v>2.1505557233034048E-2</v>
      </c>
    </row>
    <row r="70" spans="2:15" ht="21" customHeight="1">
      <c r="B70" s="376" t="s">
        <v>259</v>
      </c>
      <c r="C70" s="393">
        <f t="shared" ref="C70:O70" si="33">C21/$O$93</f>
        <v>2.3228479882926758E-3</v>
      </c>
      <c r="D70" s="393">
        <f t="shared" si="33"/>
        <v>2.0516199904488308E-3</v>
      </c>
      <c r="E70" s="393">
        <f t="shared" si="33"/>
        <v>2.8399346674541099E-3</v>
      </c>
      <c r="F70" s="393">
        <f t="shared" si="33"/>
        <v>2.9480915188967835E-3</v>
      </c>
      <c r="G70" s="393">
        <f t="shared" si="33"/>
        <v>3.385639878492728E-3</v>
      </c>
      <c r="H70" s="393">
        <f t="shared" si="33"/>
        <v>2.556191402105066E-3</v>
      </c>
      <c r="I70" s="393">
        <f t="shared" si="33"/>
        <v>2.3075958828878401E-3</v>
      </c>
      <c r="J70" s="393">
        <f t="shared" si="33"/>
        <v>2.337322817421134E-3</v>
      </c>
      <c r="K70" s="393">
        <f t="shared" si="33"/>
        <v>2.9631783675531822E-3</v>
      </c>
      <c r="L70" s="393">
        <f t="shared" si="33"/>
        <v>2.6246920587841981E-3</v>
      </c>
      <c r="M70" s="393">
        <f t="shared" si="33"/>
        <v>2.9519775518120931E-3</v>
      </c>
      <c r="N70" s="393">
        <f t="shared" si="33"/>
        <v>4.5398484194822336E-3</v>
      </c>
      <c r="O70" s="394">
        <f t="shared" si="33"/>
        <v>3.3828940543630864E-2</v>
      </c>
    </row>
    <row r="71" spans="2:15" ht="15.75">
      <c r="B71" s="371" t="s">
        <v>260</v>
      </c>
      <c r="C71" s="393">
        <f t="shared" ref="C71:O71" si="34">C22/$O$93</f>
        <v>2.2890243375765034E-3</v>
      </c>
      <c r="D71" s="393">
        <f t="shared" si="34"/>
        <v>1.8778883418805331E-3</v>
      </c>
      <c r="E71" s="393">
        <f t="shared" si="34"/>
        <v>2.5764381196616225E-3</v>
      </c>
      <c r="F71" s="393">
        <f t="shared" si="34"/>
        <v>2.6748493207781198E-3</v>
      </c>
      <c r="G71" s="393">
        <f t="shared" si="34"/>
        <v>3.2410051008089301E-3</v>
      </c>
      <c r="H71" s="393">
        <f t="shared" si="34"/>
        <v>2.3192162699225928E-3</v>
      </c>
      <c r="I71" s="393">
        <f t="shared" si="34"/>
        <v>2.1644877116490735E-3</v>
      </c>
      <c r="J71" s="393">
        <f t="shared" si="34"/>
        <v>1.9526990643621311E-3</v>
      </c>
      <c r="K71" s="393">
        <f t="shared" si="34"/>
        <v>2.6612864005132043E-3</v>
      </c>
      <c r="L71" s="393">
        <f t="shared" si="34"/>
        <v>2.4044029411143691E-3</v>
      </c>
      <c r="M71" s="393">
        <f t="shared" si="34"/>
        <v>2.7842393643980261E-3</v>
      </c>
      <c r="N71" s="393">
        <f t="shared" si="34"/>
        <v>4.4252892943478358E-3</v>
      </c>
      <c r="O71" s="394">
        <f t="shared" si="34"/>
        <v>3.1370826267012944E-2</v>
      </c>
    </row>
    <row r="72" spans="2:15" ht="15.75">
      <c r="B72" s="371" t="s">
        <v>326</v>
      </c>
      <c r="C72" s="393">
        <f t="shared" ref="C72:O72" si="35">C23/$O$93</f>
        <v>3.3823650716172113E-5</v>
      </c>
      <c r="D72" s="393">
        <f t="shared" si="35"/>
        <v>1.7373164856829748E-4</v>
      </c>
      <c r="E72" s="393">
        <f t="shared" si="35"/>
        <v>2.6349654779248748E-4</v>
      </c>
      <c r="F72" s="393">
        <f t="shared" si="35"/>
        <v>2.7324219811866382E-4</v>
      </c>
      <c r="G72" s="393">
        <f t="shared" si="35"/>
        <v>1.446347776837979E-4</v>
      </c>
      <c r="H72" s="393">
        <f t="shared" si="35"/>
        <v>2.369751321824733E-4</v>
      </c>
      <c r="I72" s="393">
        <f t="shared" si="35"/>
        <v>1.4310817123876641E-4</v>
      </c>
      <c r="J72" s="393">
        <f t="shared" si="35"/>
        <v>3.8462375305900313E-4</v>
      </c>
      <c r="K72" s="393">
        <f t="shared" si="35"/>
        <v>3.0189196703997787E-4</v>
      </c>
      <c r="L72" s="393">
        <f t="shared" si="35"/>
        <v>2.2028911766982923E-4</v>
      </c>
      <c r="M72" s="393">
        <f t="shared" si="35"/>
        <v>1.677381874140674E-4</v>
      </c>
      <c r="N72" s="393">
        <f t="shared" si="35"/>
        <v>1.1455912513439742E-4</v>
      </c>
      <c r="O72" s="394">
        <f t="shared" si="35"/>
        <v>2.4581142766179334E-3</v>
      </c>
    </row>
    <row r="73" spans="2:15" ht="21" customHeight="1">
      <c r="B73" s="376" t="s">
        <v>327</v>
      </c>
      <c r="C73" s="393">
        <f t="shared" ref="C73:O73" si="36">C24/$O$93</f>
        <v>0</v>
      </c>
      <c r="D73" s="393">
        <f t="shared" si="36"/>
        <v>-2.5030646958219531E-7</v>
      </c>
      <c r="E73" s="393">
        <f t="shared" si="36"/>
        <v>0</v>
      </c>
      <c r="F73" s="393">
        <f t="shared" si="36"/>
        <v>-4.3470862722741596E-7</v>
      </c>
      <c r="G73" s="393">
        <f t="shared" si="36"/>
        <v>0</v>
      </c>
      <c r="H73" s="393">
        <f t="shared" si="36"/>
        <v>-9.4212931049829626E-6</v>
      </c>
      <c r="I73" s="393">
        <f t="shared" si="36"/>
        <v>-1.3351764979127776E-7</v>
      </c>
      <c r="J73" s="393">
        <f t="shared" si="36"/>
        <v>-1.4680441548042962E-7</v>
      </c>
      <c r="K73" s="393">
        <f t="shared" si="36"/>
        <v>0</v>
      </c>
      <c r="L73" s="393">
        <f t="shared" si="36"/>
        <v>0</v>
      </c>
      <c r="M73" s="393">
        <f t="shared" si="36"/>
        <v>0</v>
      </c>
      <c r="N73" s="393">
        <f t="shared" si="36"/>
        <v>-9.2995262503979647E-6</v>
      </c>
      <c r="O73" s="394">
        <f t="shared" si="36"/>
        <v>-1.9686156517462247E-5</v>
      </c>
    </row>
    <row r="74" spans="2:15" ht="24.95" customHeight="1">
      <c r="B74" s="390" t="s">
        <v>269</v>
      </c>
      <c r="C74" s="391">
        <f t="shared" ref="C74:O74" si="37">C25/$O$93</f>
        <v>1.6355035489895903E-3</v>
      </c>
      <c r="D74" s="391">
        <f t="shared" si="37"/>
        <v>1.9470148271867624E-3</v>
      </c>
      <c r="E74" s="391">
        <f t="shared" si="37"/>
        <v>2.3844701451844041E-3</v>
      </c>
      <c r="F74" s="391">
        <f t="shared" si="37"/>
        <v>1.1493566668674609E-2</v>
      </c>
      <c r="G74" s="391">
        <f t="shared" si="37"/>
        <v>6.1259594128080094E-3</v>
      </c>
      <c r="H74" s="391">
        <f t="shared" si="37"/>
        <v>-1.2816692919962677E-3</v>
      </c>
      <c r="I74" s="391">
        <f t="shared" si="37"/>
        <v>1.543632440814421E-4</v>
      </c>
      <c r="J74" s="391">
        <f t="shared" si="37"/>
        <v>1.6527470494876453E-3</v>
      </c>
      <c r="K74" s="391">
        <f t="shared" si="37"/>
        <v>6.0817580997602828E-4</v>
      </c>
      <c r="L74" s="391">
        <f t="shared" si="37"/>
        <v>2.7734525585914787E-3</v>
      </c>
      <c r="M74" s="391">
        <f t="shared" si="37"/>
        <v>3.5843758088789052E-3</v>
      </c>
      <c r="N74" s="391">
        <f t="shared" si="37"/>
        <v>-8.7111227638898697E-3</v>
      </c>
      <c r="O74" s="392">
        <f t="shared" si="37"/>
        <v>2.2366837017972731E-2</v>
      </c>
    </row>
    <row r="75" spans="2:15" ht="24.95" customHeight="1">
      <c r="B75" s="396" t="s">
        <v>735</v>
      </c>
      <c r="C75" s="391"/>
      <c r="D75" s="391"/>
      <c r="E75" s="391"/>
      <c r="F75" s="391"/>
      <c r="G75" s="391"/>
      <c r="H75" s="391"/>
      <c r="I75" s="391"/>
      <c r="J75" s="391"/>
      <c r="K75" s="391"/>
      <c r="L75" s="391"/>
      <c r="M75" s="391"/>
      <c r="N75" s="391"/>
      <c r="O75" s="392"/>
    </row>
    <row r="76" spans="2:15" ht="21" customHeight="1">
      <c r="B76" s="399" t="s">
        <v>737</v>
      </c>
      <c r="C76" s="391">
        <f t="shared" ref="C76:O76" si="38">C27/$O$93</f>
        <v>5.4608504101372347E-3</v>
      </c>
      <c r="D76" s="391">
        <f t="shared" si="38"/>
        <v>1.202761486554467E-3</v>
      </c>
      <c r="E76" s="391">
        <f t="shared" si="38"/>
        <v>9.7745661040709274E-4</v>
      </c>
      <c r="F76" s="391">
        <f t="shared" si="38"/>
        <v>1.1095511765492502E-2</v>
      </c>
      <c r="G76" s="391">
        <f t="shared" si="38"/>
        <v>4.6732445710895602E-3</v>
      </c>
      <c r="H76" s="391">
        <f t="shared" si="38"/>
        <v>-8.1967307385782202E-4</v>
      </c>
      <c r="I76" s="391">
        <f t="shared" si="38"/>
        <v>3.4621170383292935E-3</v>
      </c>
      <c r="J76" s="391">
        <f t="shared" si="38"/>
        <v>6.6460677905333734E-4</v>
      </c>
      <c r="K76" s="391">
        <f t="shared" si="38"/>
        <v>-1.0199941093254903E-3</v>
      </c>
      <c r="L76" s="391">
        <f t="shared" si="38"/>
        <v>1.7717922521674383E-3</v>
      </c>
      <c r="M76" s="391">
        <f t="shared" si="38"/>
        <v>2.6429700947789036E-3</v>
      </c>
      <c r="N76" s="391">
        <f t="shared" si="38"/>
        <v>-1.0452164855173716E-2</v>
      </c>
      <c r="O76" s="392">
        <f t="shared" si="38"/>
        <v>1.9659478969652804E-2</v>
      </c>
    </row>
    <row r="77" spans="2:15" ht="21" customHeight="1">
      <c r="B77" s="399" t="s">
        <v>736</v>
      </c>
      <c r="C77" s="391">
        <f t="shared" ref="C77:O77" si="39">C28/$O$93</f>
        <v>3.7971452394644179E-3</v>
      </c>
      <c r="D77" s="391">
        <f t="shared" si="39"/>
        <v>-4.50270852455333E-4</v>
      </c>
      <c r="E77" s="391">
        <f t="shared" si="39"/>
        <v>-6.8375830332808511E-4</v>
      </c>
      <c r="F77" s="391">
        <f t="shared" si="39"/>
        <v>9.4175320510670874E-3</v>
      </c>
      <c r="G77" s="391">
        <f t="shared" si="39"/>
        <v>2.9768962324424313E-3</v>
      </c>
      <c r="H77" s="391">
        <f t="shared" si="39"/>
        <v>-2.5041469257198862E-3</v>
      </c>
      <c r="I77" s="391">
        <f t="shared" si="39"/>
        <v>1.7576377720677756E-3</v>
      </c>
      <c r="J77" s="391">
        <f t="shared" si="39"/>
        <v>-1.0504742999017558E-3</v>
      </c>
      <c r="K77" s="391">
        <f t="shared" si="39"/>
        <v>-2.7376102500154187E-3</v>
      </c>
      <c r="L77" s="391">
        <f t="shared" si="39"/>
        <v>-7.2380201133453891E-6</v>
      </c>
      <c r="M77" s="391">
        <f t="shared" si="39"/>
        <v>6.3314163659932267E-4</v>
      </c>
      <c r="N77" s="391">
        <f t="shared" si="39"/>
        <v>-1.3013014352836846E-2</v>
      </c>
      <c r="O77" s="392">
        <f t="shared" si="39"/>
        <v>-1.8641600727296352E-3</v>
      </c>
    </row>
    <row r="78" spans="2:15" ht="24.95" customHeight="1">
      <c r="B78" s="397" t="s">
        <v>328</v>
      </c>
      <c r="C78" s="359"/>
      <c r="D78" s="359"/>
      <c r="E78" s="359"/>
      <c r="F78" s="359"/>
      <c r="G78" s="359"/>
      <c r="H78" s="359"/>
      <c r="I78" s="359"/>
      <c r="J78" s="359"/>
      <c r="K78" s="359"/>
      <c r="L78" s="359"/>
      <c r="M78" s="359"/>
      <c r="N78" s="359"/>
      <c r="O78" s="398"/>
    </row>
    <row r="79" spans="2:15" ht="21" customHeight="1">
      <c r="B79" s="399" t="s">
        <v>329</v>
      </c>
      <c r="C79" s="391">
        <f t="shared" ref="C79:O92" si="40">C30/$O$93</f>
        <v>-5.533389491401288E-4</v>
      </c>
      <c r="D79" s="391">
        <f t="shared" si="40"/>
        <v>2.9163224395356217E-5</v>
      </c>
      <c r="E79" s="391">
        <f t="shared" si="40"/>
        <v>-3.3377834008373473E-4</v>
      </c>
      <c r="F79" s="391">
        <f t="shared" si="40"/>
        <v>8.7009173039288169E-3</v>
      </c>
      <c r="G79" s="391">
        <f t="shared" si="40"/>
        <v>2.8810410814971059E-3</v>
      </c>
      <c r="H79" s="391">
        <f t="shared" si="40"/>
        <v>-3.6834545847476874E-3</v>
      </c>
      <c r="I79" s="391">
        <f t="shared" si="40"/>
        <v>-1.9031492720419016E-3</v>
      </c>
      <c r="J79" s="391">
        <f t="shared" si="40"/>
        <v>-5.6494312280601497E-4</v>
      </c>
      <c r="K79" s="391">
        <f t="shared" si="40"/>
        <v>-2.1804114358177518E-3</v>
      </c>
      <c r="L79" s="391">
        <f t="shared" si="40"/>
        <v>2.8479945798044493E-4</v>
      </c>
      <c r="M79" s="391">
        <f t="shared" si="40"/>
        <v>8.3515109043554307E-4</v>
      </c>
      <c r="N79" s="391">
        <f t="shared" si="40"/>
        <v>-1.3051409585780639E-2</v>
      </c>
      <c r="O79" s="392">
        <f t="shared" si="40"/>
        <v>-9.5394131321805912E-3</v>
      </c>
    </row>
    <row r="80" spans="2:15" ht="21" customHeight="1">
      <c r="B80" s="399" t="s">
        <v>330</v>
      </c>
      <c r="C80" s="391">
        <f t="shared" si="40"/>
        <v>-6.8651642287027241E-4</v>
      </c>
      <c r="D80" s="391">
        <f t="shared" si="40"/>
        <v>-1.0369244364623173E-4</v>
      </c>
      <c r="E80" s="391">
        <f t="shared" si="40"/>
        <v>-4.5525751816150294E-4</v>
      </c>
      <c r="F80" s="391">
        <f t="shared" si="40"/>
        <v>8.5460133604591537E-3</v>
      </c>
      <c r="G80" s="391">
        <f t="shared" si="40"/>
        <v>2.7403502735973322E-3</v>
      </c>
      <c r="H80" s="391">
        <f t="shared" si="40"/>
        <v>-3.8284394009963502E-3</v>
      </c>
      <c r="I80" s="391">
        <f t="shared" si="40"/>
        <v>-2.1530991211566072E-3</v>
      </c>
      <c r="J80" s="391">
        <f t="shared" si="40"/>
        <v>-6.8442896351800968E-4</v>
      </c>
      <c r="K80" s="391">
        <f t="shared" si="40"/>
        <v>-2.3539567661983785E-3</v>
      </c>
      <c r="L80" s="391">
        <f t="shared" si="40"/>
        <v>1.4876049980728107E-4</v>
      </c>
      <c r="M80" s="391">
        <f t="shared" si="40"/>
        <v>6.3239825706681212E-4</v>
      </c>
      <c r="N80" s="391">
        <f t="shared" si="40"/>
        <v>-1.3241671657121708E-2</v>
      </c>
      <c r="O80" s="392">
        <f t="shared" si="40"/>
        <v>-1.1439539902738481E-2</v>
      </c>
    </row>
    <row r="81" spans="2:16" ht="21" customHeight="1">
      <c r="B81" s="399" t="s">
        <v>355</v>
      </c>
      <c r="C81" s="391">
        <f t="shared" si="40"/>
        <v>-2.2170441198129461E-3</v>
      </c>
      <c r="D81" s="391">
        <f t="shared" si="40"/>
        <v>-1.6238691146144436E-3</v>
      </c>
      <c r="E81" s="391">
        <f t="shared" si="40"/>
        <v>-1.9949932538189125E-3</v>
      </c>
      <c r="F81" s="391">
        <f t="shared" si="40"/>
        <v>7.0229375895034035E-3</v>
      </c>
      <c r="G81" s="391">
        <f t="shared" si="40"/>
        <v>1.1846927428499768E-3</v>
      </c>
      <c r="H81" s="391">
        <f t="shared" si="40"/>
        <v>-5.3679284366097519E-3</v>
      </c>
      <c r="I81" s="391">
        <f t="shared" si="40"/>
        <v>-3.6076285383034199E-3</v>
      </c>
      <c r="J81" s="391">
        <f t="shared" si="40"/>
        <v>-2.2800242017611081E-3</v>
      </c>
      <c r="K81" s="391">
        <f t="shared" si="40"/>
        <v>-3.8980275765076798E-3</v>
      </c>
      <c r="L81" s="391">
        <f t="shared" si="40"/>
        <v>-1.4942308143003388E-3</v>
      </c>
      <c r="M81" s="391">
        <f t="shared" si="40"/>
        <v>-1.1746773677440378E-3</v>
      </c>
      <c r="N81" s="391">
        <f t="shared" si="40"/>
        <v>-1.5612259083443769E-2</v>
      </c>
      <c r="O81" s="392">
        <f t="shared" si="40"/>
        <v>-3.1063052174563024E-2</v>
      </c>
    </row>
    <row r="82" spans="2:16" ht="24.95" customHeight="1">
      <c r="B82" s="390" t="s">
        <v>332</v>
      </c>
      <c r="C82" s="391">
        <f t="shared" si="40"/>
        <v>1.7896266064036308E-3</v>
      </c>
      <c r="D82" s="391">
        <f t="shared" si="40"/>
        <v>4.9550579590802393E-5</v>
      </c>
      <c r="E82" s="391">
        <f t="shared" si="40"/>
        <v>-2.5171699557549441E-5</v>
      </c>
      <c r="F82" s="391">
        <f t="shared" si="40"/>
        <v>-7.2023608445933207E-4</v>
      </c>
      <c r="G82" s="391">
        <f t="shared" si="40"/>
        <v>-4.8082793487319548E-4</v>
      </c>
      <c r="H82" s="391">
        <f t="shared" si="40"/>
        <v>-2.2423811864730266E-3</v>
      </c>
      <c r="I82" s="391">
        <f t="shared" si="40"/>
        <v>2.5598296741217125E-3</v>
      </c>
      <c r="J82" s="391">
        <f t="shared" si="40"/>
        <v>-8.0359313508135844E-4</v>
      </c>
      <c r="K82" s="391">
        <f t="shared" si="40"/>
        <v>1.3802963967623185E-5</v>
      </c>
      <c r="L82" s="391">
        <f t="shared" si="40"/>
        <v>-4.7571031141284019E-4</v>
      </c>
      <c r="M82" s="391">
        <f t="shared" si="40"/>
        <v>8.2802809211351622E-4</v>
      </c>
      <c r="N82" s="391">
        <f t="shared" si="40"/>
        <v>4.4309707503195107E-3</v>
      </c>
      <c r="O82" s="392">
        <f t="shared" si="40"/>
        <v>4.9238883146594942E-3</v>
      </c>
    </row>
    <row r="83" spans="2:16" ht="15.75">
      <c r="B83" s="376" t="s">
        <v>276</v>
      </c>
      <c r="C83" s="393">
        <f t="shared" si="40"/>
        <v>2.3918415292469896E-3</v>
      </c>
      <c r="D83" s="393">
        <f t="shared" si="40"/>
        <v>1.523550236377991E-3</v>
      </c>
      <c r="E83" s="393">
        <f t="shared" si="40"/>
        <v>5.9575782340976337E-4</v>
      </c>
      <c r="F83" s="393">
        <f t="shared" si="40"/>
        <v>1.837365818902042E-4</v>
      </c>
      <c r="G83" s="393">
        <f t="shared" si="40"/>
        <v>5.2688165036923317E-4</v>
      </c>
      <c r="H83" s="393">
        <f t="shared" si="40"/>
        <v>1.3603064625440555E-3</v>
      </c>
      <c r="I83" s="393">
        <f t="shared" si="40"/>
        <v>3.2253479258809374E-3</v>
      </c>
      <c r="J83" s="393">
        <f t="shared" si="40"/>
        <v>8.1454874553440397E-4</v>
      </c>
      <c r="K83" s="393">
        <f t="shared" si="40"/>
        <v>4.2506714165829341E-3</v>
      </c>
      <c r="L83" s="393">
        <f t="shared" si="40"/>
        <v>5.6617740500477967E-4</v>
      </c>
      <c r="M83" s="393">
        <f t="shared" si="40"/>
        <v>1.8542833124466189E-3</v>
      </c>
      <c r="N83" s="393">
        <f t="shared" si="40"/>
        <v>8.1494166164681695E-3</v>
      </c>
      <c r="O83" s="394">
        <f t="shared" si="40"/>
        <v>2.5442519705756079E-2</v>
      </c>
      <c r="P83" s="55"/>
    </row>
    <row r="84" spans="2:16" ht="15.75">
      <c r="B84" s="376" t="s">
        <v>277</v>
      </c>
      <c r="C84" s="393">
        <f t="shared" si="40"/>
        <v>-6.022149228433587E-4</v>
      </c>
      <c r="D84" s="393">
        <f t="shared" si="40"/>
        <v>-1.4739996567871886E-3</v>
      </c>
      <c r="E84" s="393">
        <f t="shared" si="40"/>
        <v>-6.2092952296731289E-4</v>
      </c>
      <c r="F84" s="393">
        <f t="shared" si="40"/>
        <v>-9.0397266634953627E-4</v>
      </c>
      <c r="G84" s="393">
        <f t="shared" si="40"/>
        <v>-1.0077095852424286E-3</v>
      </c>
      <c r="H84" s="393">
        <f t="shared" si="40"/>
        <v>-3.6026876490170821E-3</v>
      </c>
      <c r="I84" s="393">
        <f t="shared" si="40"/>
        <v>-6.655182517592245E-4</v>
      </c>
      <c r="J84" s="393">
        <f t="shared" si="40"/>
        <v>-1.6181418806157624E-3</v>
      </c>
      <c r="K84" s="393">
        <f t="shared" si="40"/>
        <v>-4.2368684526153111E-3</v>
      </c>
      <c r="L84" s="393">
        <f t="shared" si="40"/>
        <v>-1.0418877164176199E-3</v>
      </c>
      <c r="M84" s="393">
        <f t="shared" si="40"/>
        <v>-1.0262552203331027E-3</v>
      </c>
      <c r="N84" s="393">
        <f t="shared" si="40"/>
        <v>-3.7184458661486592E-3</v>
      </c>
      <c r="O84" s="394">
        <f t="shared" si="40"/>
        <v>-2.0518631391096585E-2</v>
      </c>
      <c r="P84" s="55"/>
    </row>
    <row r="85" spans="2:16" ht="24.95" customHeight="1">
      <c r="B85" s="390" t="s">
        <v>333</v>
      </c>
      <c r="C85" s="391">
        <f t="shared" si="40"/>
        <v>-1.2362876572635021E-3</v>
      </c>
      <c r="D85" s="391">
        <f t="shared" si="40"/>
        <v>-7.8713803986158902E-5</v>
      </c>
      <c r="E85" s="391">
        <f t="shared" si="40"/>
        <v>3.5895003964128404E-4</v>
      </c>
      <c r="F85" s="391">
        <f t="shared" si="40"/>
        <v>-7.9806812194694841E-3</v>
      </c>
      <c r="G85" s="391">
        <f t="shared" si="40"/>
        <v>-2.4002131466239105E-3</v>
      </c>
      <c r="H85" s="391">
        <f t="shared" si="40"/>
        <v>5.925835771220714E-3</v>
      </c>
      <c r="I85" s="391">
        <f t="shared" si="40"/>
        <v>-6.5668040207981094E-4</v>
      </c>
      <c r="J85" s="391">
        <f t="shared" si="40"/>
        <v>1.3685362578873734E-3</v>
      </c>
      <c r="K85" s="391">
        <f t="shared" si="40"/>
        <v>2.1666084718501288E-3</v>
      </c>
      <c r="L85" s="391">
        <f t="shared" si="40"/>
        <v>1.9091085343239561E-4</v>
      </c>
      <c r="M85" s="391">
        <f t="shared" si="40"/>
        <v>-1.6631791825490595E-3</v>
      </c>
      <c r="N85" s="391">
        <f t="shared" si="40"/>
        <v>8.6204388354611267E-3</v>
      </c>
      <c r="O85" s="392">
        <f t="shared" si="40"/>
        <v>4.6155248175210953E-3</v>
      </c>
    </row>
    <row r="86" spans="2:16" ht="15.75">
      <c r="B86" s="376" t="s">
        <v>279</v>
      </c>
      <c r="C86" s="393">
        <f t="shared" si="40"/>
        <v>-1.0390778215384462E-3</v>
      </c>
      <c r="D86" s="393">
        <f t="shared" si="40"/>
        <v>-3.6432723043821531E-5</v>
      </c>
      <c r="E86" s="393">
        <f t="shared" si="40"/>
        <v>-7.3308434879198613E-4</v>
      </c>
      <c r="F86" s="393">
        <f t="shared" si="40"/>
        <v>7.736985548215191E-4</v>
      </c>
      <c r="G86" s="393">
        <f t="shared" si="40"/>
        <v>-6.5021232411378435E-3</v>
      </c>
      <c r="H86" s="393">
        <f t="shared" si="40"/>
        <v>5.3121394247190225E-3</v>
      </c>
      <c r="I86" s="393">
        <f t="shared" si="40"/>
        <v>-4.9189558215972356E-3</v>
      </c>
      <c r="J86" s="393">
        <f t="shared" si="40"/>
        <v>-1.6055238632265896E-3</v>
      </c>
      <c r="K86" s="393">
        <f t="shared" si="40"/>
        <v>1.1941651971445024E-3</v>
      </c>
      <c r="L86" s="393">
        <f t="shared" si="40"/>
        <v>9.5157124501792859E-4</v>
      </c>
      <c r="M86" s="393">
        <f t="shared" si="40"/>
        <v>-1.1219622664631402E-3</v>
      </c>
      <c r="N86" s="393">
        <f t="shared" si="40"/>
        <v>2.9017421879754626E-3</v>
      </c>
      <c r="O86" s="394">
        <f t="shared" si="40"/>
        <v>-4.8238434761206268E-3</v>
      </c>
    </row>
    <row r="87" spans="2:16" ht="15.75">
      <c r="B87" s="376" t="s">
        <v>282</v>
      </c>
      <c r="C87" s="393">
        <f t="shared" si="40"/>
        <v>6.9646434002329212E-4</v>
      </c>
      <c r="D87" s="393">
        <f t="shared" si="40"/>
        <v>1.0096829123490785E-3</v>
      </c>
      <c r="E87" s="393">
        <f t="shared" si="40"/>
        <v>-1.397533865665098E-3</v>
      </c>
      <c r="F87" s="393">
        <f t="shared" si="40"/>
        <v>-7.5800526158902141E-3</v>
      </c>
      <c r="G87" s="393">
        <f t="shared" si="40"/>
        <v>6.6390815608606581E-3</v>
      </c>
      <c r="H87" s="393">
        <f t="shared" si="40"/>
        <v>2.7224475130733464E-4</v>
      </c>
      <c r="I87" s="393">
        <f t="shared" si="40"/>
        <v>1.3277942615149139E-3</v>
      </c>
      <c r="J87" s="393">
        <f t="shared" si="40"/>
        <v>1.7252962005223952E-3</v>
      </c>
      <c r="K87" s="393">
        <f t="shared" si="40"/>
        <v>7.4225422836941618E-4</v>
      </c>
      <c r="L87" s="393">
        <f t="shared" si="40"/>
        <v>4.6946453874723585E-4</v>
      </c>
      <c r="M87" s="393">
        <f t="shared" si="40"/>
        <v>-5.4653947961651227E-4</v>
      </c>
      <c r="N87" s="393">
        <f t="shared" si="40"/>
        <v>-3.869808575020979E-4</v>
      </c>
      <c r="O87" s="394">
        <f t="shared" si="40"/>
        <v>2.9711759750204025E-3</v>
      </c>
    </row>
    <row r="88" spans="2:16" ht="15.75">
      <c r="B88" s="376" t="s">
        <v>283</v>
      </c>
      <c r="C88" s="393">
        <f t="shared" si="40"/>
        <v>0</v>
      </c>
      <c r="D88" s="393">
        <f t="shared" si="40"/>
        <v>0</v>
      </c>
      <c r="E88" s="393">
        <f t="shared" si="40"/>
        <v>0</v>
      </c>
      <c r="F88" s="393">
        <f t="shared" si="40"/>
        <v>0</v>
      </c>
      <c r="G88" s="393">
        <f t="shared" si="40"/>
        <v>0</v>
      </c>
      <c r="H88" s="393">
        <f t="shared" si="40"/>
        <v>0</v>
      </c>
      <c r="I88" s="393">
        <f t="shared" si="40"/>
        <v>0</v>
      </c>
      <c r="J88" s="393">
        <f t="shared" si="40"/>
        <v>0</v>
      </c>
      <c r="K88" s="393">
        <f t="shared" si="40"/>
        <v>0</v>
      </c>
      <c r="L88" s="393">
        <f t="shared" si="40"/>
        <v>0</v>
      </c>
      <c r="M88" s="393">
        <f t="shared" si="40"/>
        <v>0</v>
      </c>
      <c r="N88" s="393">
        <f t="shared" si="40"/>
        <v>0</v>
      </c>
      <c r="O88" s="394">
        <f t="shared" si="40"/>
        <v>0</v>
      </c>
    </row>
    <row r="89" spans="2:16" ht="15.75">
      <c r="B89" s="376" t="s">
        <v>284</v>
      </c>
      <c r="C89" s="393">
        <f t="shared" si="40"/>
        <v>1.0167131995341577E-3</v>
      </c>
      <c r="D89" s="393">
        <f t="shared" si="40"/>
        <v>1.8412364247740857E-3</v>
      </c>
      <c r="E89" s="393">
        <f t="shared" si="40"/>
        <v>3.0674947932256662E-3</v>
      </c>
      <c r="F89" s="393">
        <f t="shared" si="40"/>
        <v>7.4631976504205668E-4</v>
      </c>
      <c r="G89" s="393">
        <f t="shared" si="40"/>
        <v>-1.5893011189400063E-3</v>
      </c>
      <c r="H89" s="393">
        <f t="shared" si="40"/>
        <v>1.5154805248464959E-3</v>
      </c>
      <c r="I89" s="393">
        <f t="shared" si="40"/>
        <v>5.7839682865566139E-3</v>
      </c>
      <c r="J89" s="393">
        <f t="shared" si="40"/>
        <v>2.1449896311642202E-3</v>
      </c>
      <c r="K89" s="393">
        <f t="shared" si="40"/>
        <v>2.2285621006114488E-3</v>
      </c>
      <c r="L89" s="393">
        <f t="shared" si="40"/>
        <v>1.011367775918881E-3</v>
      </c>
      <c r="M89" s="393">
        <f t="shared" si="40"/>
        <v>2.064014056820971E-3</v>
      </c>
      <c r="N89" s="393">
        <f t="shared" si="40"/>
        <v>5.3067217997268363E-3</v>
      </c>
      <c r="O89" s="394">
        <f t="shared" si="40"/>
        <v>2.5137567239281428E-2</v>
      </c>
    </row>
    <row r="90" spans="2:16" ht="15.75">
      <c r="B90" s="376" t="s">
        <v>334</v>
      </c>
      <c r="C90" s="393">
        <f t="shared" si="40"/>
        <v>0</v>
      </c>
      <c r="D90" s="393">
        <f t="shared" si="40"/>
        <v>0</v>
      </c>
      <c r="E90" s="393">
        <f t="shared" si="40"/>
        <v>0</v>
      </c>
      <c r="F90" s="393">
        <f t="shared" si="40"/>
        <v>0</v>
      </c>
      <c r="G90" s="393">
        <f t="shared" si="40"/>
        <v>0</v>
      </c>
      <c r="H90" s="393">
        <f t="shared" si="40"/>
        <v>0</v>
      </c>
      <c r="I90" s="393">
        <f t="shared" si="40"/>
        <v>0</v>
      </c>
      <c r="J90" s="393">
        <f t="shared" si="40"/>
        <v>0</v>
      </c>
      <c r="K90" s="393">
        <f t="shared" si="40"/>
        <v>0</v>
      </c>
      <c r="L90" s="393">
        <f t="shared" si="40"/>
        <v>0</v>
      </c>
      <c r="M90" s="393">
        <f t="shared" si="40"/>
        <v>0</v>
      </c>
      <c r="N90" s="393">
        <f t="shared" si="40"/>
        <v>0</v>
      </c>
      <c r="O90" s="394">
        <f t="shared" si="40"/>
        <v>0</v>
      </c>
    </row>
    <row r="91" spans="2:16" ht="15.75">
      <c r="B91" s="376" t="s">
        <v>335</v>
      </c>
      <c r="C91" s="393">
        <f t="shared" si="40"/>
        <v>-1.6637051706728172E-3</v>
      </c>
      <c r="D91" s="393">
        <f t="shared" si="40"/>
        <v>-1.6530323390097999E-3</v>
      </c>
      <c r="E91" s="393">
        <f t="shared" si="40"/>
        <v>-1.6612149137351778E-3</v>
      </c>
      <c r="F91" s="393">
        <f t="shared" si="40"/>
        <v>-1.6779797144254123E-3</v>
      </c>
      <c r="G91" s="393">
        <f t="shared" si="40"/>
        <v>-1.6963483386471289E-3</v>
      </c>
      <c r="H91" s="393">
        <f t="shared" si="40"/>
        <v>-1.6844738518620641E-3</v>
      </c>
      <c r="I91" s="393">
        <f t="shared" si="40"/>
        <v>-1.7044792662615181E-3</v>
      </c>
      <c r="J91" s="393">
        <f t="shared" si="40"/>
        <v>-1.7150810789550929E-3</v>
      </c>
      <c r="K91" s="393">
        <f t="shared" si="40"/>
        <v>-1.717616140689928E-3</v>
      </c>
      <c r="L91" s="393">
        <f t="shared" si="40"/>
        <v>-1.7790302722807837E-3</v>
      </c>
      <c r="M91" s="393">
        <f t="shared" si="40"/>
        <v>-2.009828458179581E-3</v>
      </c>
      <c r="N91" s="393">
        <f t="shared" si="40"/>
        <v>-2.5608494976631303E-3</v>
      </c>
      <c r="O91" s="394">
        <f t="shared" si="40"/>
        <v>-2.1523639042382438E-2</v>
      </c>
    </row>
    <row r="92" spans="2:16" ht="15.75">
      <c r="B92" s="400" t="s">
        <v>336</v>
      </c>
      <c r="C92" s="401">
        <f t="shared" si="40"/>
        <v>-2.4668220460968837E-4</v>
      </c>
      <c r="D92" s="401">
        <f t="shared" si="40"/>
        <v>-1.2401680790557015E-3</v>
      </c>
      <c r="E92" s="401">
        <f t="shared" si="40"/>
        <v>1.0832883746078796E-3</v>
      </c>
      <c r="F92" s="401">
        <f t="shared" si="40"/>
        <v>-2.4266720901743258E-4</v>
      </c>
      <c r="G92" s="401">
        <f t="shared" si="40"/>
        <v>7.4847799124041017E-4</v>
      </c>
      <c r="H92" s="401">
        <f t="shared" si="40"/>
        <v>5.1044492220992407E-4</v>
      </c>
      <c r="I92" s="401">
        <f t="shared" si="40"/>
        <v>-1.1450078622925854E-3</v>
      </c>
      <c r="J92" s="401">
        <f t="shared" si="40"/>
        <v>8.1885536838244082E-4</v>
      </c>
      <c r="K92" s="401">
        <f t="shared" si="40"/>
        <v>-2.8075691358531065E-4</v>
      </c>
      <c r="L92" s="401">
        <f t="shared" si="40"/>
        <v>-4.6246243397086626E-4</v>
      </c>
      <c r="M92" s="401">
        <f t="shared" si="40"/>
        <v>-4.8863035110796889E-5</v>
      </c>
      <c r="N92" s="401">
        <f t="shared" si="40"/>
        <v>3.3598052029240573E-3</v>
      </c>
      <c r="O92" s="402">
        <f t="shared" si="40"/>
        <v>2.8542641217223306E-3</v>
      </c>
    </row>
    <row r="93" spans="2:16" ht="24.95" customHeight="1" thickBot="1">
      <c r="B93" s="403" t="s">
        <v>359</v>
      </c>
      <c r="C93" s="404"/>
      <c r="D93" s="405"/>
      <c r="E93" s="405"/>
      <c r="F93" s="405"/>
      <c r="G93" s="405"/>
      <c r="H93" s="405"/>
      <c r="I93" s="405"/>
      <c r="J93" s="405"/>
      <c r="K93" s="405"/>
      <c r="L93" s="405"/>
      <c r="M93" s="405"/>
      <c r="N93" s="405"/>
      <c r="O93" s="496">
        <v>24154.11</v>
      </c>
    </row>
    <row r="94" spans="2:16">
      <c r="B94" s="48" t="s">
        <v>338</v>
      </c>
    </row>
    <row r="95" spans="2:16">
      <c r="B95" s="48" t="s">
        <v>356</v>
      </c>
    </row>
    <row r="97" spans="2:15" ht="16.5" thickBot="1">
      <c r="B97" s="353" t="s">
        <v>340</v>
      </c>
      <c r="C97" s="2"/>
      <c r="D97" s="2"/>
      <c r="E97" s="2"/>
      <c r="F97" s="2"/>
      <c r="G97" s="2"/>
      <c r="H97" s="2"/>
      <c r="I97" s="2"/>
      <c r="J97" s="2"/>
      <c r="K97" s="2"/>
      <c r="L97" s="2"/>
      <c r="M97" s="2"/>
      <c r="N97" s="2"/>
      <c r="O97" s="2"/>
    </row>
    <row r="98" spans="2:15" ht="24.95" customHeight="1" thickBot="1">
      <c r="B98" s="407" t="s">
        <v>357</v>
      </c>
      <c r="C98" s="408">
        <f t="shared" ref="C98:O98" si="41">C49/$O$93</f>
        <v>1.6637051706728172E-3</v>
      </c>
      <c r="D98" s="409">
        <f t="shared" si="41"/>
        <v>1.6530323390097999E-3</v>
      </c>
      <c r="E98" s="409">
        <f t="shared" si="41"/>
        <v>1.6612149137351778E-3</v>
      </c>
      <c r="F98" s="409">
        <f t="shared" si="41"/>
        <v>1.6779797144254123E-3</v>
      </c>
      <c r="G98" s="409">
        <f t="shared" si="41"/>
        <v>1.6963483386471289E-3</v>
      </c>
      <c r="H98" s="409">
        <f t="shared" si="41"/>
        <v>1.6844738518620641E-3</v>
      </c>
      <c r="I98" s="409">
        <f t="shared" si="41"/>
        <v>1.7044792662615181E-3</v>
      </c>
      <c r="J98" s="409">
        <f t="shared" si="41"/>
        <v>1.7150810789550929E-3</v>
      </c>
      <c r="K98" s="409">
        <f t="shared" si="41"/>
        <v>1.717616140689928E-3</v>
      </c>
      <c r="L98" s="409">
        <f t="shared" si="41"/>
        <v>1.7790302722807837E-3</v>
      </c>
      <c r="M98" s="409">
        <f t="shared" si="41"/>
        <v>2.009828458179581E-3</v>
      </c>
      <c r="N98" s="410">
        <f t="shared" si="41"/>
        <v>2.5608494976631303E-3</v>
      </c>
      <c r="O98" s="411">
        <f t="shared" si="41"/>
        <v>2.1523639042382438E-2</v>
      </c>
    </row>
  </sheetData>
  <printOptions horizontalCentered="1"/>
  <pageMargins left="0.7" right="0.7" top="0.75" bottom="0.75" header="0.3" footer="0.3"/>
  <pageSetup scale="28" orientation="landscape" r:id="rId1"/>
  <ignoredErrors>
    <ignoredError sqref="O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00"/>
  <sheetViews>
    <sheetView workbookViewId="0"/>
  </sheetViews>
  <sheetFormatPr baseColWidth="10" defaultRowHeight="15"/>
  <cols>
    <col min="1" max="1" width="2.7109375" customWidth="1"/>
    <col min="2" max="2" width="52.42578125" customWidth="1"/>
    <col min="3" max="14" width="8.7109375" customWidth="1"/>
    <col min="15" max="15" width="9.28515625" customWidth="1"/>
  </cols>
  <sheetData>
    <row r="1" spans="1:17" ht="15.75">
      <c r="A1" s="2"/>
      <c r="B1" s="353" t="s">
        <v>18</v>
      </c>
      <c r="C1" s="2"/>
      <c r="D1" s="2"/>
      <c r="E1" s="2"/>
      <c r="F1" s="2"/>
      <c r="G1" s="2"/>
      <c r="H1" s="2"/>
      <c r="I1" s="2"/>
      <c r="J1" s="2"/>
      <c r="K1" s="2"/>
      <c r="L1" s="2"/>
      <c r="M1" s="2"/>
      <c r="N1" s="2"/>
      <c r="O1" s="2"/>
      <c r="P1" s="2"/>
    </row>
    <row r="2" spans="1:17" ht="15.75">
      <c r="A2" s="2"/>
      <c r="B2" s="353" t="s">
        <v>663</v>
      </c>
      <c r="C2" s="2"/>
      <c r="D2" s="2"/>
      <c r="E2" s="2"/>
      <c r="F2" s="2"/>
      <c r="G2" s="2"/>
      <c r="H2" s="2"/>
      <c r="I2" s="268"/>
      <c r="J2" s="268"/>
      <c r="K2" s="268"/>
      <c r="L2" s="268"/>
      <c r="M2" s="268"/>
      <c r="N2" s="268"/>
      <c r="O2" s="268"/>
      <c r="P2" s="2"/>
    </row>
    <row r="3" spans="1:17" ht="15.75">
      <c r="A3" s="2"/>
      <c r="B3" s="353" t="s">
        <v>19</v>
      </c>
      <c r="C3" s="2"/>
      <c r="D3" s="2"/>
      <c r="E3" s="2"/>
      <c r="F3" s="2"/>
      <c r="G3" s="2"/>
      <c r="H3" s="2"/>
      <c r="I3" s="268"/>
      <c r="J3" s="268"/>
      <c r="K3" s="268"/>
      <c r="L3" s="268"/>
      <c r="M3" s="268"/>
      <c r="N3" s="268"/>
      <c r="O3" s="268"/>
      <c r="P3" s="2"/>
    </row>
    <row r="4" spans="1:17" ht="16.5" thickBot="1">
      <c r="A4" s="2"/>
      <c r="B4" s="354"/>
      <c r="C4" s="2"/>
      <c r="D4" s="2"/>
      <c r="E4" s="2"/>
      <c r="F4" s="2"/>
      <c r="G4" s="2"/>
      <c r="H4" s="2"/>
      <c r="I4" s="2"/>
      <c r="J4" s="2"/>
      <c r="K4" s="2"/>
      <c r="L4" s="2"/>
      <c r="M4" s="2"/>
      <c r="N4" s="2"/>
      <c r="O4" s="2"/>
      <c r="P4" s="2"/>
    </row>
    <row r="5" spans="1:17"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619</v>
      </c>
      <c r="P5" s="2"/>
    </row>
    <row r="6" spans="1:17" ht="15.75">
      <c r="A6" s="2"/>
      <c r="B6" s="358"/>
      <c r="C6" s="359"/>
      <c r="D6" s="359"/>
      <c r="E6" s="359"/>
      <c r="F6" s="359"/>
      <c r="G6" s="359"/>
      <c r="H6" s="359"/>
      <c r="I6" s="359"/>
      <c r="J6" s="359"/>
      <c r="K6" s="359"/>
      <c r="L6" s="359"/>
      <c r="M6" s="359"/>
      <c r="N6" s="359"/>
      <c r="O6" s="360"/>
      <c r="P6" s="2"/>
      <c r="Q6" s="9"/>
    </row>
    <row r="7" spans="1:17" ht="24.95" customHeight="1">
      <c r="A7" s="2"/>
      <c r="B7" s="390" t="s">
        <v>239</v>
      </c>
      <c r="C7" s="494">
        <f t="shared" ref="C7:N7" si="0">+C8+C12+C13</f>
        <v>471.21729343999999</v>
      </c>
      <c r="D7" s="494">
        <f t="shared" si="0"/>
        <v>382.25657120000005</v>
      </c>
      <c r="E7" s="494">
        <f t="shared" si="0"/>
        <v>428.21727721400009</v>
      </c>
      <c r="F7" s="494">
        <f t="shared" si="0"/>
        <v>654.78663094000001</v>
      </c>
      <c r="G7" s="494">
        <f t="shared" si="0"/>
        <v>553.95640247000006</v>
      </c>
      <c r="H7" s="494">
        <f t="shared" si="0"/>
        <v>442.50822859999994</v>
      </c>
      <c r="I7" s="494">
        <f t="shared" si="0"/>
        <v>464.72690021</v>
      </c>
      <c r="J7" s="494">
        <f t="shared" si="0"/>
        <v>425.02945670000003</v>
      </c>
      <c r="K7" s="494">
        <f t="shared" si="0"/>
        <v>397.44286622000004</v>
      </c>
      <c r="L7" s="494">
        <f t="shared" si="0"/>
        <v>465.44443123999991</v>
      </c>
      <c r="M7" s="494">
        <f t="shared" si="0"/>
        <v>442.32080542</v>
      </c>
      <c r="N7" s="494">
        <f t="shared" si="0"/>
        <v>570.01416020999989</v>
      </c>
      <c r="O7" s="495">
        <f>SUM(C7:N7)</f>
        <v>5697.9210238640007</v>
      </c>
      <c r="P7" s="2"/>
      <c r="Q7" s="9"/>
    </row>
    <row r="8" spans="1:17" ht="21" customHeight="1">
      <c r="A8" s="2"/>
      <c r="B8" s="376" t="s">
        <v>240</v>
      </c>
      <c r="C8" s="497">
        <f>+C9+C10+C11</f>
        <v>471.04094329999998</v>
      </c>
      <c r="D8" s="497">
        <f t="shared" ref="D8:N8" si="1">+D9+D10+D11</f>
        <v>380.02728305000005</v>
      </c>
      <c r="E8" s="497">
        <f t="shared" si="1"/>
        <v>422.08158209400011</v>
      </c>
      <c r="F8" s="497">
        <f t="shared" si="1"/>
        <v>651.38024184000005</v>
      </c>
      <c r="G8" s="497">
        <f t="shared" si="1"/>
        <v>550.98326636000002</v>
      </c>
      <c r="H8" s="497">
        <f t="shared" si="1"/>
        <v>436.26316428999996</v>
      </c>
      <c r="I8" s="497">
        <f t="shared" si="1"/>
        <v>461.68132462</v>
      </c>
      <c r="J8" s="497">
        <f t="shared" si="1"/>
        <v>422.81465202000004</v>
      </c>
      <c r="K8" s="497">
        <f t="shared" si="1"/>
        <v>394.11433753000006</v>
      </c>
      <c r="L8" s="497">
        <f t="shared" si="1"/>
        <v>463.01731152999992</v>
      </c>
      <c r="M8" s="497">
        <f t="shared" si="1"/>
        <v>437.81624497000001</v>
      </c>
      <c r="N8" s="497">
        <f t="shared" si="1"/>
        <v>562.46014304999994</v>
      </c>
      <c r="O8" s="498">
        <f t="shared" ref="O8:O13" si="2">SUM(C8:N8)</f>
        <v>5653.6804946539996</v>
      </c>
      <c r="P8" s="2"/>
      <c r="Q8" s="9"/>
    </row>
    <row r="9" spans="1:17" ht="18.75">
      <c r="A9" s="2"/>
      <c r="B9" s="371" t="s">
        <v>351</v>
      </c>
      <c r="C9" s="497">
        <v>399.70035278</v>
      </c>
      <c r="D9" s="497">
        <v>303.58973509000003</v>
      </c>
      <c r="E9" s="497">
        <v>340.80272416300005</v>
      </c>
      <c r="F9" s="497">
        <v>582.39626310000006</v>
      </c>
      <c r="G9" s="497">
        <v>470.43555910000003</v>
      </c>
      <c r="H9" s="497">
        <v>361.75586743999997</v>
      </c>
      <c r="I9" s="497">
        <v>338.32417461</v>
      </c>
      <c r="J9" s="497">
        <v>332.77641535999999</v>
      </c>
      <c r="K9" s="497">
        <v>312.45222980000005</v>
      </c>
      <c r="L9" s="497">
        <v>338.8649999999999</v>
      </c>
      <c r="M9" s="497">
        <v>342.44540000000001</v>
      </c>
      <c r="N9" s="497">
        <v>364.63559999999995</v>
      </c>
      <c r="O9" s="498">
        <f t="shared" si="2"/>
        <v>4488.179321442999</v>
      </c>
      <c r="P9" s="2"/>
      <c r="Q9" s="9"/>
    </row>
    <row r="10" spans="1:17" ht="15.75">
      <c r="A10" s="2"/>
      <c r="B10" s="371" t="s">
        <v>317</v>
      </c>
      <c r="C10" s="497">
        <v>66.297481340000004</v>
      </c>
      <c r="D10" s="497">
        <v>64.937146679999998</v>
      </c>
      <c r="E10" s="497">
        <v>72.463193411000006</v>
      </c>
      <c r="F10" s="497">
        <v>62.416790750000004</v>
      </c>
      <c r="G10" s="497">
        <v>74.203178760000014</v>
      </c>
      <c r="H10" s="497">
        <v>72.550085050000007</v>
      </c>
      <c r="I10" s="497">
        <v>121.50718785999999</v>
      </c>
      <c r="J10" s="497">
        <v>84.594553890000014</v>
      </c>
      <c r="K10" s="497">
        <v>66.085115729999998</v>
      </c>
      <c r="L10" s="497">
        <v>110.33267153000001</v>
      </c>
      <c r="M10" s="497">
        <v>67.747805969999987</v>
      </c>
      <c r="N10" s="497">
        <v>185.97523304999999</v>
      </c>
      <c r="O10" s="498">
        <f t="shared" si="2"/>
        <v>1049.1104440209999</v>
      </c>
      <c r="P10" s="2"/>
      <c r="Q10" s="9"/>
    </row>
    <row r="11" spans="1:17" ht="15.75">
      <c r="A11" s="2"/>
      <c r="B11" s="371" t="s">
        <v>318</v>
      </c>
      <c r="C11" s="497">
        <v>5.0431091800000054</v>
      </c>
      <c r="D11" s="497">
        <v>11.500401280000002</v>
      </c>
      <c r="E11" s="497">
        <v>8.8156645200000199</v>
      </c>
      <c r="F11" s="497">
        <v>6.5671879899999972</v>
      </c>
      <c r="G11" s="497">
        <v>6.3445285000000169</v>
      </c>
      <c r="H11" s="497">
        <v>1.9572117999999961</v>
      </c>
      <c r="I11" s="497">
        <v>1.8499621500000032</v>
      </c>
      <c r="J11" s="497">
        <v>5.4436827699999952</v>
      </c>
      <c r="K11" s="497">
        <v>15.576992000000001</v>
      </c>
      <c r="L11" s="497">
        <v>13.819640000000007</v>
      </c>
      <c r="M11" s="497">
        <v>27.623039000000013</v>
      </c>
      <c r="N11" s="497">
        <v>11.849310000000003</v>
      </c>
      <c r="O11" s="498">
        <f t="shared" si="2"/>
        <v>116.39072919000006</v>
      </c>
      <c r="P11" s="2"/>
      <c r="Q11" s="9"/>
    </row>
    <row r="12" spans="1:17" ht="21" customHeight="1">
      <c r="A12" s="2"/>
      <c r="B12" s="376" t="s">
        <v>244</v>
      </c>
      <c r="C12" s="497">
        <v>0</v>
      </c>
      <c r="D12" s="497">
        <v>0</v>
      </c>
      <c r="E12" s="497">
        <v>0</v>
      </c>
      <c r="F12" s="497">
        <v>0</v>
      </c>
      <c r="G12" s="497">
        <v>0</v>
      </c>
      <c r="H12" s="497">
        <v>0</v>
      </c>
      <c r="I12" s="497">
        <v>0</v>
      </c>
      <c r="J12" s="497">
        <v>0</v>
      </c>
      <c r="K12" s="497">
        <v>0</v>
      </c>
      <c r="L12" s="497">
        <v>0</v>
      </c>
      <c r="M12" s="497">
        <v>0</v>
      </c>
      <c r="N12" s="497">
        <v>0</v>
      </c>
      <c r="O12" s="498">
        <f t="shared" si="2"/>
        <v>0</v>
      </c>
      <c r="P12" s="2"/>
      <c r="Q12" s="9"/>
    </row>
    <row r="13" spans="1:17" ht="21" customHeight="1">
      <c r="A13" s="2"/>
      <c r="B13" s="376" t="s">
        <v>245</v>
      </c>
      <c r="C13" s="497">
        <v>0.17635013999999999</v>
      </c>
      <c r="D13" s="497">
        <v>2.2292881499999999</v>
      </c>
      <c r="E13" s="497">
        <v>6.1356951199999994</v>
      </c>
      <c r="F13" s="497">
        <v>3.4063890999999997</v>
      </c>
      <c r="G13" s="497">
        <v>2.97313611</v>
      </c>
      <c r="H13" s="497">
        <v>6.2450643100000001</v>
      </c>
      <c r="I13" s="497">
        <v>3.0455755899999999</v>
      </c>
      <c r="J13" s="497">
        <v>2.2148046800000003</v>
      </c>
      <c r="K13" s="497">
        <v>3.3285286899999997</v>
      </c>
      <c r="L13" s="497">
        <v>2.4271197099999999</v>
      </c>
      <c r="M13" s="497">
        <v>4.5045604499999996</v>
      </c>
      <c r="N13" s="497">
        <v>7.5540171599999999</v>
      </c>
      <c r="O13" s="498">
        <f t="shared" si="2"/>
        <v>44.240529209999998</v>
      </c>
      <c r="P13" s="2"/>
      <c r="Q13" s="9"/>
    </row>
    <row r="14" spans="1:17" ht="24.95" customHeight="1">
      <c r="A14" s="2"/>
      <c r="B14" s="390" t="s">
        <v>246</v>
      </c>
      <c r="C14" s="494">
        <f>+C15+C21+C24</f>
        <v>444.05069272000003</v>
      </c>
      <c r="D14" s="494">
        <f t="shared" ref="D14:N14" si="3">+D15+D21+D24</f>
        <v>356.54270431999998</v>
      </c>
      <c r="E14" s="494">
        <f t="shared" si="3"/>
        <v>511.77883962999999</v>
      </c>
      <c r="F14" s="494">
        <f t="shared" si="3"/>
        <v>421.47955696000008</v>
      </c>
      <c r="G14" s="494">
        <f t="shared" si="3"/>
        <v>521.2192998700001</v>
      </c>
      <c r="H14" s="494">
        <f t="shared" si="3"/>
        <v>457.99578918999998</v>
      </c>
      <c r="I14" s="494">
        <f t="shared" si="3"/>
        <v>505.70348313</v>
      </c>
      <c r="J14" s="494">
        <f t="shared" si="3"/>
        <v>385.34437951000001</v>
      </c>
      <c r="K14" s="494">
        <f t="shared" si="3"/>
        <v>390.65004564000003</v>
      </c>
      <c r="L14" s="494">
        <f t="shared" si="3"/>
        <v>471.21424502000002</v>
      </c>
      <c r="M14" s="494">
        <f t="shared" si="3"/>
        <v>528.81827688999999</v>
      </c>
      <c r="N14" s="494">
        <f t="shared" si="3"/>
        <v>774.9846013099999</v>
      </c>
      <c r="O14" s="495">
        <f>SUM(C14:N14)</f>
        <v>5769.781914189999</v>
      </c>
      <c r="P14" s="2"/>
      <c r="Q14" s="9"/>
    </row>
    <row r="15" spans="1:17" ht="21" customHeight="1">
      <c r="A15" s="2"/>
      <c r="B15" s="376" t="s">
        <v>247</v>
      </c>
      <c r="C15" s="497">
        <f>+C16+C19+C20</f>
        <v>414.04909932750002</v>
      </c>
      <c r="D15" s="497">
        <f t="shared" ref="D15:N15" si="4">+D16+D19+D20</f>
        <v>316.87039459499999</v>
      </c>
      <c r="E15" s="497">
        <f t="shared" si="4"/>
        <v>423.72855960499999</v>
      </c>
      <c r="F15" s="497">
        <f t="shared" si="4"/>
        <v>365.05661955750003</v>
      </c>
      <c r="G15" s="497">
        <f t="shared" si="4"/>
        <v>455.01162058750009</v>
      </c>
      <c r="H15" s="497">
        <f t="shared" si="4"/>
        <v>384.5888143775</v>
      </c>
      <c r="I15" s="497">
        <f t="shared" si="4"/>
        <v>448.45541319749998</v>
      </c>
      <c r="J15" s="497">
        <f t="shared" si="4"/>
        <v>339.60873546750003</v>
      </c>
      <c r="K15" s="497">
        <f t="shared" si="4"/>
        <v>337.28510853750004</v>
      </c>
      <c r="L15" s="497">
        <f t="shared" si="4"/>
        <v>404.85692864750001</v>
      </c>
      <c r="M15" s="497">
        <f t="shared" si="4"/>
        <v>440.84706064750003</v>
      </c>
      <c r="N15" s="497">
        <f t="shared" si="4"/>
        <v>696.24566701749995</v>
      </c>
      <c r="O15" s="498">
        <f t="shared" ref="O15:O24" si="5">SUM(C15:N15)</f>
        <v>5026.604021565</v>
      </c>
      <c r="P15" s="2"/>
      <c r="Q15" s="9"/>
    </row>
    <row r="16" spans="1:17" ht="15.75">
      <c r="A16" s="2"/>
      <c r="B16" s="371" t="s">
        <v>321</v>
      </c>
      <c r="C16" s="497">
        <f>+C17+C18</f>
        <v>242.52142538750002</v>
      </c>
      <c r="D16" s="497">
        <f t="shared" ref="D16:N16" si="6">+D17+D18</f>
        <v>245.47359883499999</v>
      </c>
      <c r="E16" s="497">
        <f t="shared" si="6"/>
        <v>293.83784528500001</v>
      </c>
      <c r="F16" s="497">
        <f t="shared" si="6"/>
        <v>258.31996196750003</v>
      </c>
      <c r="G16" s="497">
        <f t="shared" si="6"/>
        <v>344.84671976750008</v>
      </c>
      <c r="H16" s="497">
        <f t="shared" si="6"/>
        <v>279.63516602750002</v>
      </c>
      <c r="I16" s="497">
        <f t="shared" si="6"/>
        <v>256.36183224749999</v>
      </c>
      <c r="J16" s="497">
        <f t="shared" si="6"/>
        <v>241.91462891750001</v>
      </c>
      <c r="K16" s="497">
        <f t="shared" si="6"/>
        <v>273.29020765749999</v>
      </c>
      <c r="L16" s="497">
        <f t="shared" si="6"/>
        <v>290.71817315750002</v>
      </c>
      <c r="M16" s="497">
        <f t="shared" si="6"/>
        <v>294.65850859750003</v>
      </c>
      <c r="N16" s="497">
        <f t="shared" si="6"/>
        <v>545.5435578874999</v>
      </c>
      <c r="O16" s="498">
        <f t="shared" si="5"/>
        <v>3567.1216257350002</v>
      </c>
      <c r="P16" s="2"/>
      <c r="Q16" s="9"/>
    </row>
    <row r="17" spans="1:18" ht="15.75">
      <c r="A17" s="2"/>
      <c r="B17" s="395" t="s">
        <v>322</v>
      </c>
      <c r="C17" s="497">
        <v>184.91168300125003</v>
      </c>
      <c r="D17" s="497">
        <v>182.1468027885</v>
      </c>
      <c r="E17" s="497">
        <v>210.7920406545</v>
      </c>
      <c r="F17" s="497">
        <v>186.01995813025002</v>
      </c>
      <c r="G17" s="497">
        <v>215.08716747124998</v>
      </c>
      <c r="H17" s="497">
        <v>208.81233806525003</v>
      </c>
      <c r="I17" s="497">
        <v>190.32661779025</v>
      </c>
      <c r="J17" s="497">
        <v>183.49389013724999</v>
      </c>
      <c r="K17" s="497">
        <v>202.06547429024999</v>
      </c>
      <c r="L17" s="497">
        <v>195.00935264025</v>
      </c>
      <c r="M17" s="497">
        <v>190.17052359325001</v>
      </c>
      <c r="N17" s="497">
        <v>362.00995316724999</v>
      </c>
      <c r="O17" s="498">
        <f t="shared" si="5"/>
        <v>2510.8458017295002</v>
      </c>
      <c r="P17" s="2"/>
      <c r="Q17" s="9"/>
    </row>
    <row r="18" spans="1:18" ht="15.75">
      <c r="A18" s="2"/>
      <c r="B18" s="395" t="s">
        <v>323</v>
      </c>
      <c r="C18" s="497">
        <v>57.609742386249998</v>
      </c>
      <c r="D18" s="497">
        <v>63.326796046499993</v>
      </c>
      <c r="E18" s="497">
        <v>83.045804630500015</v>
      </c>
      <c r="F18" s="497">
        <v>72.300003837250017</v>
      </c>
      <c r="G18" s="497">
        <v>129.75955229625006</v>
      </c>
      <c r="H18" s="497">
        <v>70.822827962250003</v>
      </c>
      <c r="I18" s="497">
        <v>66.035214457249992</v>
      </c>
      <c r="J18" s="497">
        <v>58.420738780250005</v>
      </c>
      <c r="K18" s="497">
        <v>71.22473336725001</v>
      </c>
      <c r="L18" s="497">
        <v>95.708820517250004</v>
      </c>
      <c r="M18" s="497">
        <v>104.48798500425001</v>
      </c>
      <c r="N18" s="497">
        <v>183.53360472024997</v>
      </c>
      <c r="O18" s="498">
        <f t="shared" si="5"/>
        <v>1056.2758240055</v>
      </c>
      <c r="P18" s="2"/>
      <c r="Q18" s="9"/>
    </row>
    <row r="19" spans="1:18" ht="15.75">
      <c r="A19" s="2"/>
      <c r="B19" s="371" t="s">
        <v>352</v>
      </c>
      <c r="C19" s="497">
        <v>138.63337018999999</v>
      </c>
      <c r="D19" s="497">
        <v>43.832596580000008</v>
      </c>
      <c r="E19" s="497">
        <v>37.805864080000006</v>
      </c>
      <c r="F19" s="497">
        <v>71.254078299999989</v>
      </c>
      <c r="G19" s="497">
        <v>41.503146780000002</v>
      </c>
      <c r="H19" s="497">
        <v>69.274656149999998</v>
      </c>
      <c r="I19" s="497">
        <v>146.26370107999998</v>
      </c>
      <c r="J19" s="497">
        <v>65.229823670000002</v>
      </c>
      <c r="K19" s="497">
        <v>35.517446100000008</v>
      </c>
      <c r="L19" s="497">
        <v>37.24667479</v>
      </c>
      <c r="M19" s="497">
        <v>47.308336259999997</v>
      </c>
      <c r="N19" s="497">
        <v>65.948452669999995</v>
      </c>
      <c r="O19" s="498">
        <f t="shared" si="5"/>
        <v>799.81814665000002</v>
      </c>
      <c r="P19" s="2"/>
      <c r="Q19" s="9"/>
    </row>
    <row r="20" spans="1:18" ht="15.75">
      <c r="A20" s="2"/>
      <c r="B20" s="371" t="s">
        <v>325</v>
      </c>
      <c r="C20" s="497">
        <v>32.894303749999999</v>
      </c>
      <c r="D20" s="497">
        <v>27.564199180000003</v>
      </c>
      <c r="E20" s="497">
        <v>92.084850240000009</v>
      </c>
      <c r="F20" s="497">
        <v>35.482579290000004</v>
      </c>
      <c r="G20" s="497">
        <v>68.661754039999991</v>
      </c>
      <c r="H20" s="497">
        <v>35.678992199999996</v>
      </c>
      <c r="I20" s="497">
        <v>45.829879870000006</v>
      </c>
      <c r="J20" s="497">
        <v>32.464282879999999</v>
      </c>
      <c r="K20" s="497">
        <v>28.477454780000002</v>
      </c>
      <c r="L20" s="497">
        <v>76.892080699999994</v>
      </c>
      <c r="M20" s="497">
        <v>98.880215790000037</v>
      </c>
      <c r="N20" s="497">
        <v>84.753656460000016</v>
      </c>
      <c r="O20" s="498">
        <f t="shared" si="5"/>
        <v>659.66424918000007</v>
      </c>
      <c r="P20" s="2"/>
      <c r="Q20" s="9"/>
    </row>
    <row r="21" spans="1:18" ht="21" customHeight="1">
      <c r="A21" s="2"/>
      <c r="B21" s="376" t="s">
        <v>259</v>
      </c>
      <c r="C21" s="497">
        <f>+C22+C23</f>
        <v>30.001593392499998</v>
      </c>
      <c r="D21" s="497">
        <f t="shared" ref="D21:N21" si="7">+D22+D23</f>
        <v>39.679080655</v>
      </c>
      <c r="E21" s="497">
        <f t="shared" si="7"/>
        <v>88.050280025000006</v>
      </c>
      <c r="F21" s="497">
        <f t="shared" si="7"/>
        <v>56.433437402500005</v>
      </c>
      <c r="G21" s="497">
        <f t="shared" si="7"/>
        <v>66.207679282499996</v>
      </c>
      <c r="H21" s="497">
        <f t="shared" si="7"/>
        <v>73.757361952500005</v>
      </c>
      <c r="I21" s="497">
        <f t="shared" si="7"/>
        <v>57.248069932499995</v>
      </c>
      <c r="J21" s="497">
        <f t="shared" si="7"/>
        <v>45.735644042500006</v>
      </c>
      <c r="K21" s="497">
        <f t="shared" si="7"/>
        <v>53.364937102500008</v>
      </c>
      <c r="L21" s="497">
        <f t="shared" si="7"/>
        <v>66.357316372500009</v>
      </c>
      <c r="M21" s="497">
        <f t="shared" si="7"/>
        <v>87.971216242499992</v>
      </c>
      <c r="N21" s="497">
        <f t="shared" si="7"/>
        <v>78.738934292499991</v>
      </c>
      <c r="O21" s="498">
        <f>SUM(C21:N21)</f>
        <v>743.54555069499997</v>
      </c>
      <c r="P21" s="2"/>
      <c r="Q21" s="9"/>
    </row>
    <row r="22" spans="1:18" ht="15.75">
      <c r="A22" s="2"/>
      <c r="B22" s="371" t="s">
        <v>260</v>
      </c>
      <c r="C22" s="497">
        <v>24.111340052499997</v>
      </c>
      <c r="D22" s="497">
        <v>37.988994075000001</v>
      </c>
      <c r="E22" s="497">
        <v>81.110798265</v>
      </c>
      <c r="F22" s="497">
        <v>47.779771822500003</v>
      </c>
      <c r="G22" s="497">
        <v>54.869194202499997</v>
      </c>
      <c r="H22" s="497">
        <v>64.202722952500011</v>
      </c>
      <c r="I22" s="497">
        <v>55.855586942499997</v>
      </c>
      <c r="J22" s="497">
        <v>41.547892052500004</v>
      </c>
      <c r="K22" s="497">
        <v>45.448163722500006</v>
      </c>
      <c r="L22" s="497">
        <v>59.833994792500008</v>
      </c>
      <c r="M22" s="497">
        <v>79.183104832499993</v>
      </c>
      <c r="N22" s="497">
        <v>74.516448392499996</v>
      </c>
      <c r="O22" s="498">
        <f t="shared" si="5"/>
        <v>666.44801210500009</v>
      </c>
      <c r="P22" s="2"/>
      <c r="Q22" s="9"/>
    </row>
    <row r="23" spans="1:18" ht="15.75">
      <c r="A23" s="2"/>
      <c r="B23" s="371" t="s">
        <v>326</v>
      </c>
      <c r="C23" s="497">
        <v>5.8902533400000001</v>
      </c>
      <c r="D23" s="497">
        <v>1.69008658</v>
      </c>
      <c r="E23" s="497">
        <v>6.9394817599999996</v>
      </c>
      <c r="F23" s="497">
        <v>8.6536655800000002</v>
      </c>
      <c r="G23" s="497">
        <v>11.338485079999998</v>
      </c>
      <c r="H23" s="497">
        <v>9.5546389999999981</v>
      </c>
      <c r="I23" s="497">
        <v>1.39248299</v>
      </c>
      <c r="J23" s="497">
        <v>4.1877519899999998</v>
      </c>
      <c r="K23" s="497">
        <v>7.9167733800000004</v>
      </c>
      <c r="L23" s="497">
        <v>6.5233215800000002</v>
      </c>
      <c r="M23" s="497">
        <v>8.7881114099999973</v>
      </c>
      <c r="N23" s="497">
        <v>4.2224858999999997</v>
      </c>
      <c r="O23" s="498">
        <f t="shared" si="5"/>
        <v>77.097538589999985</v>
      </c>
      <c r="P23" s="2"/>
      <c r="Q23" s="9"/>
    </row>
    <row r="24" spans="1:18" ht="21" customHeight="1">
      <c r="A24" s="2"/>
      <c r="B24" s="376" t="s">
        <v>327</v>
      </c>
      <c r="C24" s="497">
        <v>0</v>
      </c>
      <c r="D24" s="497">
        <v>-6.7709299999999997E-3</v>
      </c>
      <c r="E24" s="497">
        <v>0</v>
      </c>
      <c r="F24" s="497">
        <v>-1.0500000000000001E-2</v>
      </c>
      <c r="G24" s="497">
        <v>0</v>
      </c>
      <c r="H24" s="497">
        <v>-0.35038713999999999</v>
      </c>
      <c r="I24" s="497">
        <v>0</v>
      </c>
      <c r="J24" s="497">
        <v>0</v>
      </c>
      <c r="K24" s="497">
        <v>0</v>
      </c>
      <c r="L24" s="497">
        <v>0</v>
      </c>
      <c r="M24" s="497">
        <v>0</v>
      </c>
      <c r="N24" s="497">
        <v>0</v>
      </c>
      <c r="O24" s="498">
        <f t="shared" si="5"/>
        <v>-0.36765807</v>
      </c>
      <c r="P24" s="2"/>
      <c r="Q24" s="9"/>
    </row>
    <row r="25" spans="1:18" ht="24.95" customHeight="1">
      <c r="A25" s="2"/>
      <c r="B25" s="390" t="s">
        <v>269</v>
      </c>
      <c r="C25" s="494">
        <f t="shared" ref="C25:N25" si="8">C8-C15</f>
        <v>56.991843972499964</v>
      </c>
      <c r="D25" s="494">
        <f t="shared" si="8"/>
        <v>63.156888455000058</v>
      </c>
      <c r="E25" s="494">
        <f t="shared" si="8"/>
        <v>-1.646977510999875</v>
      </c>
      <c r="F25" s="494">
        <f t="shared" si="8"/>
        <v>286.32362228250003</v>
      </c>
      <c r="G25" s="494">
        <f t="shared" si="8"/>
        <v>95.971645772499926</v>
      </c>
      <c r="H25" s="494">
        <f t="shared" si="8"/>
        <v>51.674349912499963</v>
      </c>
      <c r="I25" s="494">
        <f t="shared" si="8"/>
        <v>13.225911422500019</v>
      </c>
      <c r="J25" s="494">
        <f t="shared" si="8"/>
        <v>83.205916552500014</v>
      </c>
      <c r="K25" s="494">
        <f t="shared" si="8"/>
        <v>56.82922899250002</v>
      </c>
      <c r="L25" s="494">
        <f t="shared" si="8"/>
        <v>58.160382882499903</v>
      </c>
      <c r="M25" s="494">
        <f t="shared" si="8"/>
        <v>-3.0308156775000157</v>
      </c>
      <c r="N25" s="494">
        <f t="shared" si="8"/>
        <v>-133.78552396750001</v>
      </c>
      <c r="O25" s="495">
        <f>SUM(C25:N25)</f>
        <v>627.07647308899982</v>
      </c>
      <c r="P25" s="2"/>
      <c r="Q25" s="9"/>
    </row>
    <row r="26" spans="1:18" ht="24.95" customHeight="1">
      <c r="A26" s="2"/>
      <c r="B26" s="396" t="s">
        <v>735</v>
      </c>
      <c r="C26" s="494"/>
      <c r="D26" s="494"/>
      <c r="E26" s="494"/>
      <c r="F26" s="494"/>
      <c r="G26" s="494"/>
      <c r="H26" s="494"/>
      <c r="I26" s="494"/>
      <c r="J26" s="494"/>
      <c r="K26" s="494"/>
      <c r="L26" s="494"/>
      <c r="M26" s="494"/>
      <c r="N26" s="494"/>
      <c r="O26" s="495"/>
      <c r="P26" s="2"/>
      <c r="Q26" s="9"/>
    </row>
    <row r="27" spans="1:18" ht="21" customHeight="1">
      <c r="A27" s="2"/>
      <c r="B27" s="399" t="s">
        <v>737</v>
      </c>
      <c r="C27" s="494">
        <f>C30+C19</f>
        <v>165.79997090999996</v>
      </c>
      <c r="D27" s="494">
        <f t="shared" ref="D27:N27" si="9">D30+D19</f>
        <v>69.546463460000069</v>
      </c>
      <c r="E27" s="494">
        <f t="shared" si="9"/>
        <v>-45.755698335999895</v>
      </c>
      <c r="F27" s="494">
        <f t="shared" si="9"/>
        <v>304.56115227999993</v>
      </c>
      <c r="G27" s="494">
        <f t="shared" si="9"/>
        <v>74.240249379999966</v>
      </c>
      <c r="H27" s="494">
        <f t="shared" si="9"/>
        <v>53.787095559999955</v>
      </c>
      <c r="I27" s="494">
        <f t="shared" si="9"/>
        <v>105.28711815999998</v>
      </c>
      <c r="J27" s="494">
        <f t="shared" si="9"/>
        <v>104.91490086000002</v>
      </c>
      <c r="K27" s="494">
        <f t="shared" si="9"/>
        <v>42.310266680000019</v>
      </c>
      <c r="L27" s="494">
        <f t="shared" si="9"/>
        <v>31.476861009999894</v>
      </c>
      <c r="M27" s="494">
        <f t="shared" si="9"/>
        <v>-39.189135209999996</v>
      </c>
      <c r="N27" s="494">
        <f t="shared" si="9"/>
        <v>-139.02198843000002</v>
      </c>
      <c r="O27" s="495">
        <f>SUM(C27:N27)</f>
        <v>727.95725632399967</v>
      </c>
      <c r="P27" s="2"/>
      <c r="Q27" s="9"/>
    </row>
    <row r="28" spans="1:18" ht="21" customHeight="1">
      <c r="A28" s="2"/>
      <c r="B28" s="399" t="s">
        <v>736</v>
      </c>
      <c r="C28" s="494">
        <f>C27-C49</f>
        <v>121.90144287999996</v>
      </c>
      <c r="D28" s="494">
        <f t="shared" ref="D28:N28" si="10">D27-D49</f>
        <v>26.47708633000007</v>
      </c>
      <c r="E28" s="494">
        <f t="shared" si="10"/>
        <v>-90.255739105999893</v>
      </c>
      <c r="F28" s="494">
        <f t="shared" si="10"/>
        <v>261.26783180999996</v>
      </c>
      <c r="G28" s="494">
        <f t="shared" si="10"/>
        <v>30.965422449999963</v>
      </c>
      <c r="H28" s="494">
        <f t="shared" si="10"/>
        <v>9.4877134299999568</v>
      </c>
      <c r="I28" s="494">
        <f t="shared" si="10"/>
        <v>60.668130539999979</v>
      </c>
      <c r="J28" s="494">
        <f t="shared" si="10"/>
        <v>60.838181930000019</v>
      </c>
      <c r="K28" s="494">
        <f t="shared" si="10"/>
        <v>-3.32398251999998</v>
      </c>
      <c r="L28" s="494">
        <f t="shared" si="10"/>
        <v>-13.473882010000104</v>
      </c>
      <c r="M28" s="494">
        <f t="shared" si="10"/>
        <v>-91.526922469999988</v>
      </c>
      <c r="N28" s="494">
        <f t="shared" si="10"/>
        <v>-205.45496925000003</v>
      </c>
      <c r="O28" s="495">
        <f>SUM(C28:N28)</f>
        <v>167.57031401399991</v>
      </c>
      <c r="P28" s="2"/>
      <c r="Q28" s="9"/>
    </row>
    <row r="29" spans="1:18" ht="24.95" customHeight="1">
      <c r="A29" s="2"/>
      <c r="B29" s="397" t="s">
        <v>328</v>
      </c>
      <c r="C29" s="497"/>
      <c r="D29" s="497"/>
      <c r="E29" s="497"/>
      <c r="F29" s="497"/>
      <c r="G29" s="497"/>
      <c r="H29" s="497"/>
      <c r="I29" s="497"/>
      <c r="J29" s="497"/>
      <c r="K29" s="497"/>
      <c r="L29" s="497"/>
      <c r="M29" s="497"/>
      <c r="N29" s="497"/>
      <c r="O29" s="495"/>
      <c r="P29" s="2"/>
      <c r="Q29" s="9"/>
    </row>
    <row r="30" spans="1:18" ht="21" customHeight="1">
      <c r="A30" s="2"/>
      <c r="B30" s="399" t="s">
        <v>329</v>
      </c>
      <c r="C30" s="494">
        <f t="shared" ref="C30:N30" si="11">C7-C14</f>
        <v>27.166600719999963</v>
      </c>
      <c r="D30" s="494">
        <f t="shared" si="11"/>
        <v>25.713866880000069</v>
      </c>
      <c r="E30" s="494">
        <f t="shared" si="11"/>
        <v>-83.561562415999902</v>
      </c>
      <c r="F30" s="494">
        <f t="shared" si="11"/>
        <v>233.30707397999993</v>
      </c>
      <c r="G30" s="494">
        <f t="shared" si="11"/>
        <v>32.737102599999957</v>
      </c>
      <c r="H30" s="494">
        <f t="shared" si="11"/>
        <v>-15.487560590000044</v>
      </c>
      <c r="I30" s="494">
        <f t="shared" si="11"/>
        <v>-40.976582919999998</v>
      </c>
      <c r="J30" s="494">
        <f t="shared" si="11"/>
        <v>39.685077190000015</v>
      </c>
      <c r="K30" s="494">
        <f t="shared" si="11"/>
        <v>6.7928205800000114</v>
      </c>
      <c r="L30" s="494">
        <f t="shared" si="11"/>
        <v>-5.7698137800001064</v>
      </c>
      <c r="M30" s="494">
        <f t="shared" si="11"/>
        <v>-86.497471469999994</v>
      </c>
      <c r="N30" s="494">
        <f t="shared" si="11"/>
        <v>-204.97044110000002</v>
      </c>
      <c r="O30" s="495">
        <f t="shared" ref="O30:O44" si="12">SUM(C30:N30)</f>
        <v>-71.860890326000117</v>
      </c>
      <c r="P30" s="2"/>
      <c r="Q30" s="9"/>
    </row>
    <row r="31" spans="1:18" ht="21" customHeight="1">
      <c r="A31" s="2"/>
      <c r="B31" s="399" t="s">
        <v>330</v>
      </c>
      <c r="C31" s="494">
        <f t="shared" ref="C31:N31" si="13">C30-C13</f>
        <v>26.990250579999962</v>
      </c>
      <c r="D31" s="494">
        <f t="shared" si="13"/>
        <v>23.48457873000007</v>
      </c>
      <c r="E31" s="494">
        <f t="shared" si="13"/>
        <v>-89.697257535999896</v>
      </c>
      <c r="F31" s="494">
        <f t="shared" si="13"/>
        <v>229.90068487999991</v>
      </c>
      <c r="G31" s="494">
        <f t="shared" si="13"/>
        <v>29.763966489999959</v>
      </c>
      <c r="H31" s="494">
        <f t="shared" si="13"/>
        <v>-21.732624900000044</v>
      </c>
      <c r="I31" s="494">
        <f t="shared" si="13"/>
        <v>-44.022158509999997</v>
      </c>
      <c r="J31" s="494">
        <f t="shared" si="13"/>
        <v>37.470272510000015</v>
      </c>
      <c r="K31" s="494">
        <f t="shared" si="13"/>
        <v>3.4642918900000117</v>
      </c>
      <c r="L31" s="494">
        <f t="shared" si="13"/>
        <v>-8.1969334900001058</v>
      </c>
      <c r="M31" s="494">
        <f t="shared" si="13"/>
        <v>-91.002031919999993</v>
      </c>
      <c r="N31" s="494">
        <f t="shared" si="13"/>
        <v>-212.52445826000002</v>
      </c>
      <c r="O31" s="495">
        <f t="shared" si="12"/>
        <v>-116.10141953600014</v>
      </c>
      <c r="P31" s="2"/>
      <c r="Q31" s="9"/>
    </row>
    <row r="32" spans="1:18" ht="21" customHeight="1">
      <c r="A32" s="2"/>
      <c r="B32" s="399" t="s">
        <v>355</v>
      </c>
      <c r="C32" s="494">
        <f t="shared" ref="C32:N32" si="14">C30-C49</f>
        <v>-16.731927310000032</v>
      </c>
      <c r="D32" s="494">
        <f t="shared" si="14"/>
        <v>-17.355510249999931</v>
      </c>
      <c r="E32" s="494">
        <f t="shared" si="14"/>
        <v>-128.0616031859999</v>
      </c>
      <c r="F32" s="494">
        <f t="shared" si="14"/>
        <v>190.01375350999993</v>
      </c>
      <c r="G32" s="494">
        <f t="shared" si="14"/>
        <v>-10.537724330000046</v>
      </c>
      <c r="H32" s="494">
        <f t="shared" si="14"/>
        <v>-59.786942720000042</v>
      </c>
      <c r="I32" s="494">
        <f t="shared" si="14"/>
        <v>-85.595570539999997</v>
      </c>
      <c r="J32" s="494">
        <f t="shared" si="14"/>
        <v>-4.391641739999983</v>
      </c>
      <c r="K32" s="494">
        <f t="shared" si="14"/>
        <v>-38.841428619999988</v>
      </c>
      <c r="L32" s="494">
        <f t="shared" si="14"/>
        <v>-50.720556800000104</v>
      </c>
      <c r="M32" s="494">
        <f t="shared" si="14"/>
        <v>-138.83525872999999</v>
      </c>
      <c r="N32" s="494">
        <f t="shared" si="14"/>
        <v>-271.40342192000003</v>
      </c>
      <c r="O32" s="495">
        <f t="shared" si="12"/>
        <v>-632.24783263600011</v>
      </c>
      <c r="P32" s="2"/>
      <c r="Q32" s="9"/>
      <c r="R32" s="23">
        <f>+O32+O19</f>
        <v>167.57031401399991</v>
      </c>
    </row>
    <row r="33" spans="1:17" ht="24.95" customHeight="1">
      <c r="A33" s="2"/>
      <c r="B33" s="390" t="s">
        <v>332</v>
      </c>
      <c r="C33" s="494">
        <f>SUM(C34:C35)</f>
        <v>13.896808679999999</v>
      </c>
      <c r="D33" s="494">
        <f t="shared" ref="D33:N33" si="15">SUM(D34:D35)</f>
        <v>549.00852053999995</v>
      </c>
      <c r="E33" s="494">
        <f t="shared" si="15"/>
        <v>-12.580431870000002</v>
      </c>
      <c r="F33" s="494">
        <f t="shared" si="15"/>
        <v>-19.429340980000003</v>
      </c>
      <c r="G33" s="494">
        <f t="shared" si="15"/>
        <v>-15.156951809999997</v>
      </c>
      <c r="H33" s="494">
        <f t="shared" si="15"/>
        <v>-33.512529880000002</v>
      </c>
      <c r="I33" s="494">
        <f t="shared" si="15"/>
        <v>-11.20621719</v>
      </c>
      <c r="J33" s="494">
        <f t="shared" si="15"/>
        <v>-85.909715470000009</v>
      </c>
      <c r="K33" s="494">
        <f t="shared" si="15"/>
        <v>-45.943733569999978</v>
      </c>
      <c r="L33" s="494">
        <f t="shared" si="15"/>
        <v>34.677337229999999</v>
      </c>
      <c r="M33" s="494">
        <f t="shared" si="15"/>
        <v>87.704969509999998</v>
      </c>
      <c r="N33" s="494">
        <f t="shared" si="15"/>
        <v>-88.06985469</v>
      </c>
      <c r="O33" s="495">
        <f t="shared" si="12"/>
        <v>373.47886050000005</v>
      </c>
      <c r="P33" s="2"/>
      <c r="Q33" s="9"/>
    </row>
    <row r="34" spans="1:17" ht="15.75">
      <c r="A34" s="2"/>
      <c r="B34" s="376" t="s">
        <v>276</v>
      </c>
      <c r="C34" s="497">
        <v>28.974722419999999</v>
      </c>
      <c r="D34" s="497">
        <v>589.46596</v>
      </c>
      <c r="E34" s="497">
        <v>4.8085413600000004</v>
      </c>
      <c r="F34" s="497">
        <v>7.5850414199999996</v>
      </c>
      <c r="G34" s="497">
        <v>12.84560675</v>
      </c>
      <c r="H34" s="497">
        <v>44.397975189999997</v>
      </c>
      <c r="I34" s="497">
        <v>4.5199257800000003</v>
      </c>
      <c r="J34" s="497">
        <v>9.3318963000000004</v>
      </c>
      <c r="K34" s="497">
        <v>104.39809746</v>
      </c>
      <c r="L34" s="497">
        <v>63.045714449999998</v>
      </c>
      <c r="M34" s="497">
        <v>116.16509105</v>
      </c>
      <c r="N34" s="497">
        <v>37.960784940000003</v>
      </c>
      <c r="O34" s="498">
        <f t="shared" si="12"/>
        <v>1023.4993571200002</v>
      </c>
      <c r="P34" s="2"/>
      <c r="Q34" s="9"/>
    </row>
    <row r="35" spans="1:17" ht="15.75">
      <c r="A35" s="2"/>
      <c r="B35" s="376" t="s">
        <v>277</v>
      </c>
      <c r="C35" s="497">
        <v>-15.07791374</v>
      </c>
      <c r="D35" s="497">
        <v>-40.457439460000003</v>
      </c>
      <c r="E35" s="497">
        <v>-17.388973230000001</v>
      </c>
      <c r="F35" s="497">
        <v>-27.014382400000002</v>
      </c>
      <c r="G35" s="497">
        <v>-28.002558559999997</v>
      </c>
      <c r="H35" s="497">
        <v>-77.910505069999999</v>
      </c>
      <c r="I35" s="497">
        <v>-15.72614297</v>
      </c>
      <c r="J35" s="497">
        <v>-95.241611770000006</v>
      </c>
      <c r="K35" s="497">
        <v>-150.34183102999998</v>
      </c>
      <c r="L35" s="497">
        <v>-28.368377219999999</v>
      </c>
      <c r="M35" s="497">
        <v>-28.460121540000003</v>
      </c>
      <c r="N35" s="497">
        <v>-126.03063963</v>
      </c>
      <c r="O35" s="498">
        <f t="shared" si="12"/>
        <v>-650.02049662000002</v>
      </c>
      <c r="P35" s="2"/>
      <c r="Q35" s="9"/>
    </row>
    <row r="36" spans="1:17" ht="24.95" customHeight="1">
      <c r="A36" s="2"/>
      <c r="B36" s="390" t="s">
        <v>333</v>
      </c>
      <c r="C36" s="494">
        <f>SUM(C37:C43)</f>
        <v>-41.063409399999962</v>
      </c>
      <c r="D36" s="494">
        <f t="shared" ref="D36:N36" si="16">SUM(D37:D43)</f>
        <v>-574.72238742000013</v>
      </c>
      <c r="E36" s="494">
        <f t="shared" si="16"/>
        <v>96.141994285999886</v>
      </c>
      <c r="F36" s="494">
        <f t="shared" si="16"/>
        <v>-213.87773299999992</v>
      </c>
      <c r="G36" s="494">
        <f t="shared" si="16"/>
        <v>-17.580150789999955</v>
      </c>
      <c r="H36" s="494">
        <f t="shared" si="16"/>
        <v>49.000090470000046</v>
      </c>
      <c r="I36" s="494">
        <f t="shared" si="16"/>
        <v>52.182800110000017</v>
      </c>
      <c r="J36" s="494">
        <f t="shared" si="16"/>
        <v>46.224638279999994</v>
      </c>
      <c r="K36" s="494">
        <f t="shared" si="16"/>
        <v>39.150912989999973</v>
      </c>
      <c r="L36" s="494">
        <f t="shared" si="16"/>
        <v>-28.907523449999907</v>
      </c>
      <c r="M36" s="494">
        <f t="shared" si="16"/>
        <v>-1.2074980399999973</v>
      </c>
      <c r="N36" s="494">
        <f t="shared" si="16"/>
        <v>293.04029579000002</v>
      </c>
      <c r="O36" s="495">
        <f t="shared" si="12"/>
        <v>-301.61797017399994</v>
      </c>
      <c r="P36" s="2"/>
      <c r="Q36" s="9"/>
    </row>
    <row r="37" spans="1:17" ht="15.75">
      <c r="A37" s="2"/>
      <c r="B37" s="376" t="s">
        <v>279</v>
      </c>
      <c r="C37" s="497">
        <v>-11.059000000000001</v>
      </c>
      <c r="D37" s="497">
        <v>-577.596</v>
      </c>
      <c r="E37" s="497">
        <v>589.81200000000001</v>
      </c>
      <c r="F37" s="497">
        <v>-36.406999999999996</v>
      </c>
      <c r="G37" s="497">
        <v>-196.73</v>
      </c>
      <c r="H37" s="497">
        <v>73.963999999999999</v>
      </c>
      <c r="I37" s="497">
        <v>43.728999999999999</v>
      </c>
      <c r="J37" s="497">
        <v>41.725000000000001</v>
      </c>
      <c r="K37" s="497">
        <v>34.835000000000001</v>
      </c>
      <c r="L37" s="497">
        <v>-38.972000000000001</v>
      </c>
      <c r="M37" s="497">
        <v>1.2279999999999998</v>
      </c>
      <c r="N37" s="497">
        <v>90.811000000000007</v>
      </c>
      <c r="O37" s="498">
        <f t="shared" si="12"/>
        <v>15.340000000000046</v>
      </c>
      <c r="P37" s="2"/>
      <c r="Q37" s="9"/>
    </row>
    <row r="38" spans="1:17" ht="15.75">
      <c r="A38" s="2"/>
      <c r="B38" s="376" t="s">
        <v>282</v>
      </c>
      <c r="C38" s="497">
        <v>22.6991266</v>
      </c>
      <c r="D38" s="497">
        <v>-4.3860185900000008</v>
      </c>
      <c r="E38" s="497">
        <v>-310.46733467000001</v>
      </c>
      <c r="F38" s="497">
        <v>-192.92672069000002</v>
      </c>
      <c r="G38" s="497">
        <v>140.49356220000001</v>
      </c>
      <c r="H38" s="497">
        <v>40.27424886</v>
      </c>
      <c r="I38" s="497">
        <v>15.559098839999995</v>
      </c>
      <c r="J38" s="497">
        <v>-16.06423783</v>
      </c>
      <c r="K38" s="497">
        <v>-23.035006409999998</v>
      </c>
      <c r="L38" s="497">
        <v>-42.491474049999994</v>
      </c>
      <c r="M38" s="497">
        <v>-50.024833129999976</v>
      </c>
      <c r="N38" s="497">
        <v>134.05959568999998</v>
      </c>
      <c r="O38" s="498">
        <f t="shared" si="12"/>
        <v>-286.30999318000011</v>
      </c>
      <c r="P38" s="2"/>
      <c r="Q38" s="9"/>
    </row>
    <row r="39" spans="1:17" ht="15.75">
      <c r="A39" s="2"/>
      <c r="B39" s="376" t="s">
        <v>283</v>
      </c>
      <c r="C39" s="497">
        <v>0</v>
      </c>
      <c r="D39" s="497">
        <v>0</v>
      </c>
      <c r="E39" s="497">
        <v>0</v>
      </c>
      <c r="F39" s="497">
        <v>0</v>
      </c>
      <c r="G39" s="497">
        <v>0</v>
      </c>
      <c r="H39" s="497">
        <v>0</v>
      </c>
      <c r="I39" s="497">
        <v>0</v>
      </c>
      <c r="J39" s="497">
        <v>-2.5605416999999999</v>
      </c>
      <c r="K39" s="497">
        <v>0</v>
      </c>
      <c r="L39" s="497">
        <v>0</v>
      </c>
      <c r="M39" s="497">
        <v>0</v>
      </c>
      <c r="N39" s="497">
        <v>-0.47600822999999998</v>
      </c>
      <c r="O39" s="498">
        <f t="shared" si="12"/>
        <v>-3.0365499300000001</v>
      </c>
      <c r="P39" s="2"/>
      <c r="Q39" s="9"/>
    </row>
    <row r="40" spans="1:17" ht="15.75">
      <c r="A40" s="2"/>
      <c r="B40" s="376" t="s">
        <v>284</v>
      </c>
      <c r="C40" s="497">
        <v>6.3691522899999971</v>
      </c>
      <c r="D40" s="497">
        <v>45.245099180000004</v>
      </c>
      <c r="E40" s="497">
        <v>-74.075892609999983</v>
      </c>
      <c r="F40" s="497">
        <v>58.093922409999998</v>
      </c>
      <c r="G40" s="497">
        <v>38.404130160000001</v>
      </c>
      <c r="H40" s="497">
        <v>46.87456272</v>
      </c>
      <c r="I40" s="497">
        <v>55.483216699999986</v>
      </c>
      <c r="J40" s="497">
        <v>73.672041209999989</v>
      </c>
      <c r="K40" s="497">
        <v>46.323736369999999</v>
      </c>
      <c r="L40" s="497">
        <v>56.770122380000004</v>
      </c>
      <c r="M40" s="497">
        <v>37.359142019999993</v>
      </c>
      <c r="N40" s="497">
        <v>140.47517721</v>
      </c>
      <c r="O40" s="498">
        <f t="shared" si="12"/>
        <v>530.99441004000005</v>
      </c>
      <c r="P40" s="2"/>
      <c r="Q40" s="9"/>
    </row>
    <row r="41" spans="1:17" ht="15.75">
      <c r="A41" s="2"/>
      <c r="B41" s="376" t="s">
        <v>334</v>
      </c>
      <c r="C41" s="497">
        <v>0</v>
      </c>
      <c r="D41" s="497">
        <v>0</v>
      </c>
      <c r="E41" s="497">
        <v>0</v>
      </c>
      <c r="F41" s="497">
        <v>0</v>
      </c>
      <c r="G41" s="497">
        <v>0</v>
      </c>
      <c r="H41" s="497">
        <v>0</v>
      </c>
      <c r="I41" s="497">
        <v>0</v>
      </c>
      <c r="J41" s="497">
        <v>0</v>
      </c>
      <c r="K41" s="497">
        <v>0</v>
      </c>
      <c r="L41" s="497">
        <v>0</v>
      </c>
      <c r="M41" s="497">
        <v>0</v>
      </c>
      <c r="N41" s="497">
        <v>0</v>
      </c>
      <c r="O41" s="498">
        <f t="shared" si="12"/>
        <v>0</v>
      </c>
      <c r="P41" s="2"/>
      <c r="Q41" s="9"/>
    </row>
    <row r="42" spans="1:17" ht="15.75">
      <c r="A42" s="2"/>
      <c r="B42" s="376" t="s">
        <v>335</v>
      </c>
      <c r="C42" s="497">
        <v>-43.898528029999994</v>
      </c>
      <c r="D42" s="497">
        <v>-43.069377129999999</v>
      </c>
      <c r="E42" s="497">
        <v>-44.500040769999998</v>
      </c>
      <c r="F42" s="497">
        <v>-43.293320469999998</v>
      </c>
      <c r="G42" s="497">
        <v>-43.274826930000003</v>
      </c>
      <c r="H42" s="497">
        <v>-44.299382129999998</v>
      </c>
      <c r="I42" s="497">
        <v>-44.618987619999999</v>
      </c>
      <c r="J42" s="497">
        <v>-44.076718929999998</v>
      </c>
      <c r="K42" s="497">
        <v>-45.634249199999999</v>
      </c>
      <c r="L42" s="497">
        <v>-44.950743019999997</v>
      </c>
      <c r="M42" s="497">
        <v>-52.337787259999999</v>
      </c>
      <c r="N42" s="497">
        <v>-66.432980819999997</v>
      </c>
      <c r="O42" s="498">
        <f t="shared" si="12"/>
        <v>-560.38694230999999</v>
      </c>
      <c r="P42" s="2"/>
      <c r="Q42" s="9"/>
    </row>
    <row r="43" spans="1:17" ht="15.75">
      <c r="A43" s="2"/>
      <c r="B43" s="376" t="s">
        <v>336</v>
      </c>
      <c r="C43" s="497">
        <v>-15.174160259999965</v>
      </c>
      <c r="D43" s="497">
        <v>5.08390911999998</v>
      </c>
      <c r="E43" s="497">
        <v>-64.626737664000132</v>
      </c>
      <c r="F43" s="497">
        <v>0.65538575000007881</v>
      </c>
      <c r="G43" s="497">
        <v>43.526983780000023</v>
      </c>
      <c r="H43" s="497">
        <v>-67.813338979999955</v>
      </c>
      <c r="I43" s="497">
        <v>-17.969527809999974</v>
      </c>
      <c r="J43" s="497">
        <v>-6.4709044699999936</v>
      </c>
      <c r="K43" s="497">
        <v>26.661432229999967</v>
      </c>
      <c r="L43" s="497">
        <v>40.736571240000096</v>
      </c>
      <c r="M43" s="497">
        <v>62.567980329999983</v>
      </c>
      <c r="N43" s="497">
        <v>-5.3964880599999674</v>
      </c>
      <c r="O43" s="498">
        <f t="shared" si="12"/>
        <v>1.7811052060001415</v>
      </c>
      <c r="P43" s="2"/>
      <c r="Q43" s="9"/>
    </row>
    <row r="44" spans="1:17" ht="24.95" customHeight="1" thickBot="1">
      <c r="A44" s="2"/>
      <c r="B44" s="377" t="s">
        <v>337</v>
      </c>
      <c r="C44" s="499">
        <f t="shared" ref="C44:N44" si="17">-C30-C33-C36</f>
        <v>0</v>
      </c>
      <c r="D44" s="499">
        <f t="shared" si="17"/>
        <v>0</v>
      </c>
      <c r="E44" s="499">
        <f t="shared" si="17"/>
        <v>0</v>
      </c>
      <c r="F44" s="499">
        <f t="shared" si="17"/>
        <v>0</v>
      </c>
      <c r="G44" s="499">
        <f t="shared" si="17"/>
        <v>0</v>
      </c>
      <c r="H44" s="499">
        <f t="shared" si="17"/>
        <v>0</v>
      </c>
      <c r="I44" s="499">
        <f t="shared" si="17"/>
        <v>0</v>
      </c>
      <c r="J44" s="499">
        <f t="shared" si="17"/>
        <v>0</v>
      </c>
      <c r="K44" s="499">
        <f t="shared" si="17"/>
        <v>0</v>
      </c>
      <c r="L44" s="499">
        <f t="shared" si="17"/>
        <v>0</v>
      </c>
      <c r="M44" s="499">
        <f t="shared" si="17"/>
        <v>-7.1054273576010019E-15</v>
      </c>
      <c r="N44" s="499">
        <f t="shared" si="17"/>
        <v>0</v>
      </c>
      <c r="O44" s="500">
        <f t="shared" si="12"/>
        <v>-7.1054273576010019E-15</v>
      </c>
      <c r="P44" s="2"/>
      <c r="Q44" s="9"/>
    </row>
    <row r="45" spans="1:17" ht="15.75">
      <c r="A45" s="2"/>
      <c r="B45" s="48" t="s">
        <v>338</v>
      </c>
      <c r="C45" s="354"/>
      <c r="D45" s="354"/>
      <c r="E45" s="354"/>
      <c r="F45" s="354"/>
      <c r="G45" s="354"/>
      <c r="H45" s="354"/>
      <c r="I45" s="354"/>
      <c r="J45" s="354"/>
      <c r="K45" s="354"/>
      <c r="L45" s="354"/>
      <c r="M45" s="354"/>
      <c r="N45" s="354"/>
      <c r="O45" s="2"/>
      <c r="P45" s="2"/>
      <c r="Q45" s="9"/>
    </row>
    <row r="46" spans="1:17" ht="15.75">
      <c r="A46" s="2"/>
      <c r="B46" s="48" t="s">
        <v>621</v>
      </c>
      <c r="C46" s="354"/>
      <c r="D46" s="354"/>
      <c r="E46" s="354"/>
      <c r="F46" s="354"/>
      <c r="G46" s="354"/>
      <c r="H46" s="354"/>
      <c r="I46" s="354"/>
      <c r="J46" s="354"/>
      <c r="K46" s="354"/>
      <c r="L46" s="354"/>
      <c r="M46" s="354"/>
      <c r="N46" s="354"/>
      <c r="O46" s="2"/>
      <c r="P46" s="2"/>
      <c r="Q46" s="9"/>
    </row>
    <row r="47" spans="1:17">
      <c r="A47" s="2"/>
      <c r="B47" s="329"/>
      <c r="C47" s="2"/>
      <c r="D47" s="2"/>
      <c r="E47" s="2"/>
      <c r="F47" s="2"/>
      <c r="G47" s="2"/>
      <c r="H47" s="2"/>
      <c r="I47" s="2"/>
      <c r="J47" s="2"/>
      <c r="K47" s="2"/>
      <c r="L47" s="2"/>
      <c r="M47" s="2"/>
      <c r="N47" s="2"/>
      <c r="O47" s="2"/>
      <c r="P47" s="2"/>
      <c r="Q47" s="9"/>
    </row>
    <row r="48" spans="1:17" ht="16.5" thickBot="1">
      <c r="A48" s="2"/>
      <c r="B48" s="353" t="s">
        <v>340</v>
      </c>
      <c r="C48" s="2"/>
      <c r="D48" s="2"/>
      <c r="E48" s="2"/>
      <c r="F48" s="2"/>
      <c r="G48" s="2"/>
      <c r="H48" s="2"/>
      <c r="I48" s="2"/>
      <c r="J48" s="2"/>
      <c r="K48" s="2"/>
      <c r="L48" s="2"/>
      <c r="M48" s="2"/>
      <c r="N48" s="2"/>
      <c r="O48" s="2"/>
      <c r="P48" s="2"/>
      <c r="Q48" s="9"/>
    </row>
    <row r="49" spans="1:17" ht="24.95" customHeight="1" thickBot="1">
      <c r="A49" s="2"/>
      <c r="B49" s="407" t="s">
        <v>357</v>
      </c>
      <c r="C49" s="501">
        <v>43.898528029999994</v>
      </c>
      <c r="D49" s="502">
        <v>43.069377129999999</v>
      </c>
      <c r="E49" s="502">
        <v>44.500040769999998</v>
      </c>
      <c r="F49" s="502">
        <v>43.293320469999998</v>
      </c>
      <c r="G49" s="502">
        <v>43.274826930000003</v>
      </c>
      <c r="H49" s="502">
        <v>44.299382129999998</v>
      </c>
      <c r="I49" s="502">
        <v>44.618987619999999</v>
      </c>
      <c r="J49" s="502">
        <v>44.076718929999998</v>
      </c>
      <c r="K49" s="502">
        <v>45.634249199999999</v>
      </c>
      <c r="L49" s="502">
        <v>44.950743019999997</v>
      </c>
      <c r="M49" s="502">
        <v>52.337787259999999</v>
      </c>
      <c r="N49" s="503">
        <v>66.432980819999997</v>
      </c>
      <c r="O49" s="504">
        <f>SUM(C49:N49)</f>
        <v>560.38694230999999</v>
      </c>
      <c r="P49" s="2"/>
      <c r="Q49" s="9"/>
    </row>
    <row r="50" spans="1:17" ht="15.75">
      <c r="B50" s="353" t="s">
        <v>18</v>
      </c>
      <c r="C50" s="2"/>
      <c r="D50" s="2"/>
      <c r="E50" s="2"/>
      <c r="F50" s="2"/>
      <c r="G50" s="2"/>
      <c r="H50" s="2"/>
      <c r="I50" s="2"/>
      <c r="J50" s="2"/>
      <c r="K50" s="2"/>
      <c r="L50" s="2"/>
      <c r="M50" s="2"/>
      <c r="N50" s="2"/>
      <c r="O50" s="2"/>
      <c r="Q50" s="9"/>
    </row>
    <row r="51" spans="1:17" ht="15.75">
      <c r="B51" s="353" t="s">
        <v>664</v>
      </c>
      <c r="C51" s="2"/>
      <c r="D51" s="2"/>
      <c r="E51" s="2"/>
      <c r="F51" s="2"/>
      <c r="G51" s="2"/>
      <c r="H51" s="2"/>
      <c r="I51" s="2"/>
      <c r="J51" s="2"/>
      <c r="K51" s="2"/>
      <c r="L51" s="2"/>
      <c r="M51" s="2"/>
      <c r="N51" s="2"/>
      <c r="O51" s="2"/>
      <c r="Q51" s="9"/>
    </row>
    <row r="52" spans="1:17" ht="15.75">
      <c r="B52" s="353" t="s">
        <v>55</v>
      </c>
      <c r="C52" s="2"/>
      <c r="D52" s="2"/>
      <c r="E52" s="2"/>
      <c r="F52" s="2"/>
      <c r="G52" s="2"/>
      <c r="H52" s="2"/>
      <c r="I52" s="2"/>
      <c r="J52" s="2"/>
      <c r="K52" s="2"/>
      <c r="L52" s="2"/>
      <c r="M52" s="2"/>
      <c r="N52" s="2"/>
      <c r="O52" s="2"/>
      <c r="Q52" s="9"/>
    </row>
    <row r="53" spans="1:17" ht="15.75" thickBot="1">
      <c r="B53" s="2"/>
      <c r="C53" s="2"/>
      <c r="D53" s="2"/>
      <c r="E53" s="2"/>
      <c r="F53" s="2"/>
      <c r="G53" s="2"/>
      <c r="H53" s="2"/>
      <c r="I53" s="2"/>
      <c r="J53" s="2"/>
      <c r="K53" s="2"/>
      <c r="L53" s="2"/>
      <c r="M53" s="2"/>
      <c r="N53" s="2"/>
      <c r="O53" s="2"/>
      <c r="Q53" s="9"/>
    </row>
    <row r="54" spans="1:17"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619</v>
      </c>
      <c r="Q54" s="9"/>
    </row>
    <row r="55" spans="1:17" ht="15.75">
      <c r="B55" s="358"/>
      <c r="C55" s="359"/>
      <c r="D55" s="359"/>
      <c r="E55" s="359"/>
      <c r="F55" s="359"/>
      <c r="G55" s="359"/>
      <c r="H55" s="359"/>
      <c r="I55" s="359"/>
      <c r="J55" s="359"/>
      <c r="K55" s="359"/>
      <c r="L55" s="359"/>
      <c r="M55" s="359"/>
      <c r="N55" s="359"/>
      <c r="O55" s="360"/>
      <c r="Q55" s="9"/>
    </row>
    <row r="56" spans="1:17" ht="24.95" customHeight="1">
      <c r="B56" s="390" t="s">
        <v>239</v>
      </c>
      <c r="C56" s="391">
        <f t="shared" ref="C56:O56" si="18">C7/$O$93</f>
        <v>1.8903155509253259E-2</v>
      </c>
      <c r="D56" s="391">
        <f t="shared" si="18"/>
        <v>1.5334444449347461E-2</v>
      </c>
      <c r="E56" s="391">
        <f t="shared" si="18"/>
        <v>1.7178184874821339E-2</v>
      </c>
      <c r="F56" s="391">
        <f t="shared" si="18"/>
        <v>2.6267146139055848E-2</v>
      </c>
      <c r="G56" s="391">
        <f t="shared" si="18"/>
        <v>2.2222282940407904E-2</v>
      </c>
      <c r="H56" s="391">
        <f t="shared" si="18"/>
        <v>1.7751474692885138E-2</v>
      </c>
      <c r="I56" s="391">
        <f t="shared" si="18"/>
        <v>1.8642789613835382E-2</v>
      </c>
      <c r="J56" s="391">
        <f t="shared" si="18"/>
        <v>1.7050303602740215E-2</v>
      </c>
      <c r="K56" s="391">
        <f t="shared" si="18"/>
        <v>1.5943651497494583E-2</v>
      </c>
      <c r="L56" s="391">
        <f t="shared" si="18"/>
        <v>1.8671573787997976E-2</v>
      </c>
      <c r="M56" s="391">
        <f t="shared" si="18"/>
        <v>1.774395610312432E-2</v>
      </c>
      <c r="N56" s="391">
        <f t="shared" si="18"/>
        <v>2.2866449221898129E-2</v>
      </c>
      <c r="O56" s="392">
        <f t="shared" si="18"/>
        <v>0.22857541243286159</v>
      </c>
      <c r="Q56" s="9"/>
    </row>
    <row r="57" spans="1:17" ht="21" customHeight="1">
      <c r="B57" s="376" t="s">
        <v>240</v>
      </c>
      <c r="C57" s="393">
        <f t="shared" ref="C57:O57" si="19">C8/$O$93</f>
        <v>1.8896081120925608E-2</v>
      </c>
      <c r="D57" s="393">
        <f t="shared" si="19"/>
        <v>1.5245015259967019E-2</v>
      </c>
      <c r="E57" s="393">
        <f t="shared" si="19"/>
        <v>1.6932047900169972E-2</v>
      </c>
      <c r="F57" s="393">
        <f t="shared" si="19"/>
        <v>2.6130496861156365E-2</v>
      </c>
      <c r="G57" s="393">
        <f t="shared" si="19"/>
        <v>2.2103013857927459E-2</v>
      </c>
      <c r="H57" s="393">
        <f t="shared" si="19"/>
        <v>1.7500950309632109E-2</v>
      </c>
      <c r="I57" s="393">
        <f t="shared" si="19"/>
        <v>1.8520614579526532E-2</v>
      </c>
      <c r="J57" s="393">
        <f t="shared" si="19"/>
        <v>1.6961455426173892E-2</v>
      </c>
      <c r="K57" s="393">
        <f t="shared" si="19"/>
        <v>1.5810125635180083E-2</v>
      </c>
      <c r="L57" s="393">
        <f t="shared" si="19"/>
        <v>1.8574208470645621E-2</v>
      </c>
      <c r="M57" s="393">
        <f t="shared" si="19"/>
        <v>1.7563253043468841E-2</v>
      </c>
      <c r="N57" s="393">
        <f t="shared" si="19"/>
        <v>2.2563415434550021E-2</v>
      </c>
      <c r="O57" s="394">
        <f t="shared" si="19"/>
        <v>0.22680067789932351</v>
      </c>
      <c r="Q57" s="9"/>
    </row>
    <row r="58" spans="1:17" ht="18.75">
      <c r="B58" s="371" t="s">
        <v>351</v>
      </c>
      <c r="C58" s="393">
        <f t="shared" ref="C58:O58" si="20">C9/$O$93</f>
        <v>1.603421188247579E-2</v>
      </c>
      <c r="D58" s="393">
        <f t="shared" si="20"/>
        <v>1.2178678612418099E-2</v>
      </c>
      <c r="E58" s="393">
        <f t="shared" si="20"/>
        <v>1.3671499290275143E-2</v>
      </c>
      <c r="F58" s="393">
        <f t="shared" si="20"/>
        <v>2.3363164473480996E-2</v>
      </c>
      <c r="G58" s="393">
        <f t="shared" si="20"/>
        <v>1.8871795782007119E-2</v>
      </c>
      <c r="H58" s="393">
        <f t="shared" si="20"/>
        <v>1.4512046806859923E-2</v>
      </c>
      <c r="I58" s="393">
        <f t="shared" si="20"/>
        <v>1.3572070834889483E-2</v>
      </c>
      <c r="J58" s="393">
        <f t="shared" si="20"/>
        <v>1.334951924926097E-2</v>
      </c>
      <c r="K58" s="393">
        <f t="shared" si="20"/>
        <v>1.2534202736925631E-2</v>
      </c>
      <c r="L58" s="393">
        <f t="shared" si="20"/>
        <v>1.3593766359635377E-2</v>
      </c>
      <c r="M58" s="393">
        <f t="shared" si="20"/>
        <v>1.3737396185890788E-2</v>
      </c>
      <c r="N58" s="393">
        <f t="shared" si="20"/>
        <v>1.462756895166353E-2</v>
      </c>
      <c r="O58" s="394">
        <f t="shared" si="20"/>
        <v>0.1800459211657828</v>
      </c>
      <c r="Q58" s="9"/>
    </row>
    <row r="59" spans="1:17" ht="15.75">
      <c r="B59" s="371" t="s">
        <v>317</v>
      </c>
      <c r="C59" s="393">
        <f t="shared" ref="C59:O59" si="21">C10/$O$93</f>
        <v>2.6595619835871115E-3</v>
      </c>
      <c r="D59" s="393">
        <f t="shared" si="21"/>
        <v>2.6049913683304335E-3</v>
      </c>
      <c r="E59" s="393">
        <f t="shared" si="21"/>
        <v>2.9069031056680509E-3</v>
      </c>
      <c r="F59" s="393">
        <f t="shared" si="21"/>
        <v>2.5038858258414143E-3</v>
      </c>
      <c r="G59" s="393">
        <f t="shared" si="21"/>
        <v>2.9767036288955743E-3</v>
      </c>
      <c r="H59" s="393">
        <f t="shared" si="21"/>
        <v>2.9103888142516217E-3</v>
      </c>
      <c r="I59" s="393">
        <f t="shared" si="21"/>
        <v>4.8743314381395671E-3</v>
      </c>
      <c r="J59" s="393">
        <f t="shared" si="21"/>
        <v>3.3935596797492942E-3</v>
      </c>
      <c r="K59" s="393">
        <f t="shared" si="21"/>
        <v>2.6510428137549906E-3</v>
      </c>
      <c r="L59" s="393">
        <f t="shared" si="21"/>
        <v>4.4260592230334038E-3</v>
      </c>
      <c r="M59" s="393">
        <f t="shared" si="21"/>
        <v>2.7177425987755916E-3</v>
      </c>
      <c r="N59" s="393">
        <f t="shared" si="21"/>
        <v>7.4605045276450498E-3</v>
      </c>
      <c r="O59" s="394">
        <f t="shared" si="21"/>
        <v>4.2085675007672102E-2</v>
      </c>
      <c r="Q59" s="9"/>
    </row>
    <row r="60" spans="1:17" ht="15.75">
      <c r="B60" s="371" t="s">
        <v>318</v>
      </c>
      <c r="C60" s="393">
        <f t="shared" ref="C60:O60" si="22">C11/$O$93</f>
        <v>2.0230725486271065E-4</v>
      </c>
      <c r="D60" s="393">
        <f t="shared" si="22"/>
        <v>4.6134527921848437E-4</v>
      </c>
      <c r="E60" s="393">
        <f t="shared" si="22"/>
        <v>3.5364550422677896E-4</v>
      </c>
      <c r="F60" s="393">
        <f t="shared" si="22"/>
        <v>2.6344656183395585E-4</v>
      </c>
      <c r="G60" s="393">
        <f t="shared" si="22"/>
        <v>2.5451444702476845E-4</v>
      </c>
      <c r="H60" s="393">
        <f t="shared" si="22"/>
        <v>7.8514688520565297E-5</v>
      </c>
      <c r="I60" s="393">
        <f t="shared" si="22"/>
        <v>7.4212306497480662E-5</v>
      </c>
      <c r="J60" s="393">
        <f t="shared" si="22"/>
        <v>2.1837649716362765E-4</v>
      </c>
      <c r="K60" s="393">
        <f t="shared" si="22"/>
        <v>6.248800844994598E-4</v>
      </c>
      <c r="L60" s="393">
        <f t="shared" si="22"/>
        <v>5.5438288797683916E-4</v>
      </c>
      <c r="M60" s="393">
        <f t="shared" si="22"/>
        <v>1.1081142588024622E-3</v>
      </c>
      <c r="N60" s="393">
        <f t="shared" si="22"/>
        <v>4.7534195524144172E-4</v>
      </c>
      <c r="O60" s="394">
        <f t="shared" si="22"/>
        <v>4.6690817258685747E-3</v>
      </c>
      <c r="Q60" s="9"/>
    </row>
    <row r="61" spans="1:17" ht="21" customHeight="1">
      <c r="B61" s="376" t="s">
        <v>244</v>
      </c>
      <c r="C61" s="393">
        <f t="shared" ref="C61:O61" si="23">C12/$O$93</f>
        <v>0</v>
      </c>
      <c r="D61" s="393">
        <f t="shared" si="23"/>
        <v>0</v>
      </c>
      <c r="E61" s="393">
        <f t="shared" si="23"/>
        <v>0</v>
      </c>
      <c r="F61" s="393">
        <f t="shared" si="23"/>
        <v>0</v>
      </c>
      <c r="G61" s="393">
        <f t="shared" si="23"/>
        <v>0</v>
      </c>
      <c r="H61" s="393">
        <f t="shared" si="23"/>
        <v>0</v>
      </c>
      <c r="I61" s="393">
        <f t="shared" si="23"/>
        <v>0</v>
      </c>
      <c r="J61" s="393">
        <f t="shared" si="23"/>
        <v>0</v>
      </c>
      <c r="K61" s="393">
        <f t="shared" si="23"/>
        <v>0</v>
      </c>
      <c r="L61" s="393">
        <f t="shared" si="23"/>
        <v>0</v>
      </c>
      <c r="M61" s="393">
        <f t="shared" si="23"/>
        <v>0</v>
      </c>
      <c r="N61" s="393">
        <f t="shared" si="23"/>
        <v>0</v>
      </c>
      <c r="O61" s="394">
        <f t="shared" si="23"/>
        <v>0</v>
      </c>
      <c r="Q61" s="9"/>
    </row>
    <row r="62" spans="1:17" ht="21" customHeight="1">
      <c r="B62" s="376" t="s">
        <v>245</v>
      </c>
      <c r="C62" s="393">
        <f t="shared" ref="C62:O62" si="24">C13/$O$93</f>
        <v>7.0743883276496235E-6</v>
      </c>
      <c r="D62" s="393">
        <f t="shared" si="24"/>
        <v>8.9429189380442928E-5</v>
      </c>
      <c r="E62" s="393">
        <f t="shared" si="24"/>
        <v>2.4613697465136546E-4</v>
      </c>
      <c r="F62" s="393">
        <f t="shared" si="24"/>
        <v>1.3664927789948397E-4</v>
      </c>
      <c r="G62" s="393">
        <f t="shared" si="24"/>
        <v>1.1926908248044264E-4</v>
      </c>
      <c r="H62" s="393">
        <f t="shared" si="24"/>
        <v>2.5052438325302861E-4</v>
      </c>
      <c r="I62" s="393">
        <f t="shared" si="24"/>
        <v>1.2217503430885066E-4</v>
      </c>
      <c r="J62" s="393">
        <f t="shared" si="24"/>
        <v>8.8848176566322897E-5</v>
      </c>
      <c r="K62" s="393">
        <f t="shared" si="24"/>
        <v>1.3352586231450052E-4</v>
      </c>
      <c r="L62" s="393">
        <f t="shared" si="24"/>
        <v>9.7365317352355604E-5</v>
      </c>
      <c r="M62" s="393">
        <f t="shared" si="24"/>
        <v>1.8070305965547934E-4</v>
      </c>
      <c r="N62" s="393">
        <f t="shared" si="24"/>
        <v>3.0303378734810736E-4</v>
      </c>
      <c r="O62" s="394">
        <f t="shared" si="24"/>
        <v>1.7747345335380295E-3</v>
      </c>
      <c r="Q62" s="9"/>
    </row>
    <row r="63" spans="1:17" ht="24.95" customHeight="1">
      <c r="B63" s="390" t="s">
        <v>246</v>
      </c>
      <c r="C63" s="391">
        <f t="shared" ref="C63:O63" si="25">C14/$O$93</f>
        <v>1.7813351537249122E-2</v>
      </c>
      <c r="D63" s="391">
        <f t="shared" si="25"/>
        <v>1.4302917739390731E-2</v>
      </c>
      <c r="E63" s="391">
        <f t="shared" si="25"/>
        <v>2.0530305501410662E-2</v>
      </c>
      <c r="F63" s="391">
        <f t="shared" si="25"/>
        <v>1.6907897312135729E-2</v>
      </c>
      <c r="G63" s="391">
        <f t="shared" si="25"/>
        <v>2.0909015048959066E-2</v>
      </c>
      <c r="H63" s="391">
        <f t="shared" si="25"/>
        <v>1.8372767184411727E-2</v>
      </c>
      <c r="I63" s="391">
        <f t="shared" si="25"/>
        <v>2.0286589045558062E-2</v>
      </c>
      <c r="J63" s="391">
        <f t="shared" si="25"/>
        <v>1.5458313673756828E-2</v>
      </c>
      <c r="K63" s="391">
        <f t="shared" si="25"/>
        <v>1.5671153553217531E-2</v>
      </c>
      <c r="L63" s="391">
        <f t="shared" si="25"/>
        <v>1.8903033220113791E-2</v>
      </c>
      <c r="M63" s="391">
        <f t="shared" si="25"/>
        <v>2.1213852427213287E-2</v>
      </c>
      <c r="N63" s="391">
        <f t="shared" si="25"/>
        <v>3.1088957556912971E-2</v>
      </c>
      <c r="O63" s="392">
        <f t="shared" si="25"/>
        <v>0.23145815380032947</v>
      </c>
      <c r="Q63" s="9"/>
    </row>
    <row r="64" spans="1:17" ht="21" customHeight="1">
      <c r="B64" s="376" t="s">
        <v>247</v>
      </c>
      <c r="C64" s="393">
        <f t="shared" ref="C64:O64" si="26">C15/$O$93</f>
        <v>1.6609820187022849E-2</v>
      </c>
      <c r="D64" s="393">
        <f t="shared" si="26"/>
        <v>1.2711439984683871E-2</v>
      </c>
      <c r="E64" s="393">
        <f t="shared" si="26"/>
        <v>1.6998117359937451E-2</v>
      </c>
      <c r="F64" s="393">
        <f t="shared" si="26"/>
        <v>1.4644458395830066E-2</v>
      </c>
      <c r="G64" s="393">
        <f t="shared" si="26"/>
        <v>1.825305552708464E-2</v>
      </c>
      <c r="H64" s="393">
        <f t="shared" si="26"/>
        <v>1.5428003739474172E-2</v>
      </c>
      <c r="I64" s="393">
        <f t="shared" si="26"/>
        <v>1.7990049458399538E-2</v>
      </c>
      <c r="J64" s="393">
        <f t="shared" si="26"/>
        <v>1.3623601740033384E-2</v>
      </c>
      <c r="K64" s="393">
        <f t="shared" si="26"/>
        <v>1.3530388095681278E-2</v>
      </c>
      <c r="L64" s="393">
        <f t="shared" si="26"/>
        <v>1.6241070919433071E-2</v>
      </c>
      <c r="M64" s="393">
        <f t="shared" si="26"/>
        <v>1.768483597531207E-2</v>
      </c>
      <c r="N64" s="393">
        <f t="shared" si="26"/>
        <v>2.7930299459502716E-2</v>
      </c>
      <c r="O64" s="394">
        <f t="shared" si="26"/>
        <v>0.2016451408423951</v>
      </c>
      <c r="Q64" s="9"/>
    </row>
    <row r="65" spans="2:17" ht="15.75">
      <c r="B65" s="371" t="s">
        <v>321</v>
      </c>
      <c r="C65" s="393">
        <f t="shared" ref="C65:O65" si="27">C16/$O$93</f>
        <v>9.7288878872808342E-3</v>
      </c>
      <c r="D65" s="393">
        <f t="shared" si="27"/>
        <v>9.8473160403755294E-3</v>
      </c>
      <c r="E65" s="393">
        <f t="shared" si="27"/>
        <v>1.178747588692541E-2</v>
      </c>
      <c r="F65" s="393">
        <f t="shared" si="27"/>
        <v>1.0362655361327057E-2</v>
      </c>
      <c r="G65" s="393">
        <f t="shared" si="27"/>
        <v>1.3833726523559683E-2</v>
      </c>
      <c r="H65" s="393">
        <f t="shared" si="27"/>
        <v>1.1217727156583548E-2</v>
      </c>
      <c r="I65" s="393">
        <f t="shared" si="27"/>
        <v>1.0284103849912367E-2</v>
      </c>
      <c r="J65" s="393">
        <f t="shared" si="27"/>
        <v>9.7045458943307451E-3</v>
      </c>
      <c r="K65" s="393">
        <f t="shared" si="27"/>
        <v>1.0963195465073971E-2</v>
      </c>
      <c r="L65" s="393">
        <f t="shared" si="27"/>
        <v>1.1662328426963768E-2</v>
      </c>
      <c r="M65" s="393">
        <f t="shared" si="27"/>
        <v>1.182039727252159E-2</v>
      </c>
      <c r="N65" s="393">
        <f t="shared" si="27"/>
        <v>2.1884796792017155E-2</v>
      </c>
      <c r="O65" s="394">
        <f t="shared" si="27"/>
        <v>0.14309715655687166</v>
      </c>
      <c r="Q65" s="9"/>
    </row>
    <row r="66" spans="2:17" ht="15.75">
      <c r="B66" s="395" t="s">
        <v>322</v>
      </c>
      <c r="C66" s="393">
        <f t="shared" ref="C66:O66" si="28">C17/$O$93</f>
        <v>7.4178395995040921E-3</v>
      </c>
      <c r="D66" s="393">
        <f t="shared" si="28"/>
        <v>7.3069248233410093E-3</v>
      </c>
      <c r="E66" s="393">
        <f t="shared" si="28"/>
        <v>8.4560451835628807E-3</v>
      </c>
      <c r="F66" s="393">
        <f t="shared" si="28"/>
        <v>7.4622987002250889E-3</v>
      </c>
      <c r="G66" s="393">
        <f t="shared" si="28"/>
        <v>8.6283466913370799E-3</v>
      </c>
      <c r="H66" s="393">
        <f t="shared" si="28"/>
        <v>8.3766282639641341E-3</v>
      </c>
      <c r="I66" s="393">
        <f t="shared" si="28"/>
        <v>7.6350628547069812E-3</v>
      </c>
      <c r="J66" s="393">
        <f t="shared" si="28"/>
        <v>7.3609640150100464E-3</v>
      </c>
      <c r="K66" s="393">
        <f t="shared" si="28"/>
        <v>8.1059739036211127E-3</v>
      </c>
      <c r="L66" s="393">
        <f t="shared" si="28"/>
        <v>7.8229134839399271E-3</v>
      </c>
      <c r="M66" s="393">
        <f t="shared" si="28"/>
        <v>7.6288010453017235E-3</v>
      </c>
      <c r="N66" s="393">
        <f t="shared" si="28"/>
        <v>1.4522239603435417E-2</v>
      </c>
      <c r="O66" s="394">
        <f t="shared" si="28"/>
        <v>0.1007240381679495</v>
      </c>
      <c r="Q66" s="9"/>
    </row>
    <row r="67" spans="2:17" ht="15.75">
      <c r="B67" s="395" t="s">
        <v>323</v>
      </c>
      <c r="C67" s="393">
        <f t="shared" ref="C67:O67" si="29">C18/$O$93</f>
        <v>2.3110482877767421E-3</v>
      </c>
      <c r="D67" s="393">
        <f t="shared" si="29"/>
        <v>2.5403912170345196E-3</v>
      </c>
      <c r="E67" s="393">
        <f t="shared" si="29"/>
        <v>3.3314307033625286E-3</v>
      </c>
      <c r="F67" s="393">
        <f t="shared" si="29"/>
        <v>2.9003566611019676E-3</v>
      </c>
      <c r="G67" s="393">
        <f t="shared" si="29"/>
        <v>5.205379832222602E-3</v>
      </c>
      <c r="H67" s="393">
        <f t="shared" si="29"/>
        <v>2.8410988926194148E-3</v>
      </c>
      <c r="I67" s="393">
        <f t="shared" si="29"/>
        <v>2.6490409952053852E-3</v>
      </c>
      <c r="J67" s="393">
        <f t="shared" si="29"/>
        <v>2.3435818793206987E-3</v>
      </c>
      <c r="K67" s="393">
        <f t="shared" si="29"/>
        <v>2.8572215614528582E-3</v>
      </c>
      <c r="L67" s="393">
        <f t="shared" si="29"/>
        <v>3.8394149430238402E-3</v>
      </c>
      <c r="M67" s="393">
        <f t="shared" si="29"/>
        <v>4.1915962272198659E-3</v>
      </c>
      <c r="N67" s="393">
        <f t="shared" si="29"/>
        <v>7.3625571885817401E-3</v>
      </c>
      <c r="O67" s="394">
        <f t="shared" si="29"/>
        <v>4.237311838892216E-2</v>
      </c>
      <c r="Q67" s="9"/>
    </row>
    <row r="68" spans="2:17" ht="15.75">
      <c r="B68" s="371" t="s">
        <v>352</v>
      </c>
      <c r="C68" s="393">
        <f t="shared" ref="C68:O68" si="30">C19/$O$93</f>
        <v>5.561358192825167E-3</v>
      </c>
      <c r="D68" s="393">
        <f t="shared" si="30"/>
        <v>1.758370079071822E-3</v>
      </c>
      <c r="E68" s="393">
        <f t="shared" si="30"/>
        <v>1.5166042032303474E-3</v>
      </c>
      <c r="F68" s="393">
        <f t="shared" si="30"/>
        <v>2.8583987504798821E-3</v>
      </c>
      <c r="G68" s="393">
        <f t="shared" si="30"/>
        <v>1.664922846906507E-3</v>
      </c>
      <c r="H68" s="393">
        <f t="shared" si="30"/>
        <v>2.7789930808645867E-3</v>
      </c>
      <c r="I68" s="393">
        <f t="shared" si="30"/>
        <v>5.867453349791418E-3</v>
      </c>
      <c r="J68" s="393">
        <f t="shared" si="30"/>
        <v>2.6167322758331303E-3</v>
      </c>
      <c r="K68" s="393">
        <f t="shared" si="30"/>
        <v>1.4248029863643131E-3</v>
      </c>
      <c r="L68" s="393">
        <f t="shared" si="30"/>
        <v>1.4941719999663028E-3</v>
      </c>
      <c r="M68" s="393">
        <f t="shared" si="30"/>
        <v>1.8978013957815256E-3</v>
      </c>
      <c r="N68" s="393">
        <f t="shared" si="30"/>
        <v>2.6455604957002113E-3</v>
      </c>
      <c r="O68" s="394">
        <f t="shared" si="30"/>
        <v>3.2085169656815217E-2</v>
      </c>
      <c r="Q68" s="9"/>
    </row>
    <row r="69" spans="2:17" ht="15.75">
      <c r="B69" s="371" t="s">
        <v>325</v>
      </c>
      <c r="C69" s="393">
        <f t="shared" ref="C69:O69" si="31">C20/$O$93</f>
        <v>1.3195741069168486E-3</v>
      </c>
      <c r="D69" s="393">
        <f t="shared" si="31"/>
        <v>1.1057538652365195E-3</v>
      </c>
      <c r="E69" s="393">
        <f t="shared" si="31"/>
        <v>3.6940372697816951E-3</v>
      </c>
      <c r="F69" s="393">
        <f t="shared" si="31"/>
        <v>1.4234042840231276E-3</v>
      </c>
      <c r="G69" s="393">
        <f t="shared" si="31"/>
        <v>2.7544061566184487E-3</v>
      </c>
      <c r="H69" s="393">
        <f t="shared" si="31"/>
        <v>1.4312835020260373E-3</v>
      </c>
      <c r="I69" s="393">
        <f t="shared" si="31"/>
        <v>1.8384922586957544E-3</v>
      </c>
      <c r="J69" s="393">
        <f t="shared" si="31"/>
        <v>1.3023235698695079E-3</v>
      </c>
      <c r="K69" s="393">
        <f t="shared" si="31"/>
        <v>1.1423896442429929E-3</v>
      </c>
      <c r="L69" s="393">
        <f t="shared" si="31"/>
        <v>3.0845704925029993E-3</v>
      </c>
      <c r="M69" s="393">
        <f t="shared" si="31"/>
        <v>3.9666373070089559E-3</v>
      </c>
      <c r="N69" s="393">
        <f t="shared" si="31"/>
        <v>3.3999421717853485E-3</v>
      </c>
      <c r="O69" s="394">
        <f t="shared" si="31"/>
        <v>2.6462814628708236E-2</v>
      </c>
      <c r="Q69" s="9"/>
    </row>
    <row r="70" spans="2:17" ht="21" customHeight="1">
      <c r="B70" s="376" t="s">
        <v>259</v>
      </c>
      <c r="C70" s="393">
        <f t="shared" ref="C70:O70" si="32">C21/$O$93</f>
        <v>1.2035313502262719E-3</v>
      </c>
      <c r="D70" s="393">
        <f t="shared" si="32"/>
        <v>1.5917493744978029E-3</v>
      </c>
      <c r="E70" s="393">
        <f t="shared" si="32"/>
        <v>3.5321881414732128E-3</v>
      </c>
      <c r="F70" s="393">
        <f t="shared" si="32"/>
        <v>2.2638601299062862E-3</v>
      </c>
      <c r="G70" s="393">
        <f t="shared" si="32"/>
        <v>2.6559595218744242E-3</v>
      </c>
      <c r="H70" s="393">
        <f t="shared" si="32"/>
        <v>2.9588194286377912E-3</v>
      </c>
      <c r="I70" s="393">
        <f t="shared" si="32"/>
        <v>2.2965395871585208E-3</v>
      </c>
      <c r="J70" s="393">
        <f t="shared" si="32"/>
        <v>1.8347119337234442E-3</v>
      </c>
      <c r="K70" s="393">
        <f t="shared" si="32"/>
        <v>2.1407654575362539E-3</v>
      </c>
      <c r="L70" s="393">
        <f t="shared" si="32"/>
        <v>2.6619623006807216E-3</v>
      </c>
      <c r="M70" s="393">
        <f t="shared" si="32"/>
        <v>3.5290164519012172E-3</v>
      </c>
      <c r="N70" s="393">
        <f t="shared" si="32"/>
        <v>3.1586580974102578E-3</v>
      </c>
      <c r="O70" s="394">
        <f t="shared" si="32"/>
        <v>2.9827761775026204E-2</v>
      </c>
      <c r="Q70" s="9"/>
    </row>
    <row r="71" spans="2:17" ht="15.75">
      <c r="B71" s="371" t="s">
        <v>260</v>
      </c>
      <c r="C71" s="393">
        <f t="shared" ref="C71:O71" si="33">C22/$O$93</f>
        <v>9.6724041518422865E-4</v>
      </c>
      <c r="D71" s="393">
        <f t="shared" si="33"/>
        <v>1.523950569380499E-3</v>
      </c>
      <c r="E71" s="393">
        <f t="shared" si="33"/>
        <v>3.253806798748554E-3</v>
      </c>
      <c r="F71" s="393">
        <f t="shared" si="33"/>
        <v>1.9167133072809379E-3</v>
      </c>
      <c r="G71" s="393">
        <f t="shared" si="33"/>
        <v>2.2011096050941971E-3</v>
      </c>
      <c r="H71" s="393">
        <f t="shared" si="33"/>
        <v>2.5755295337927639E-3</v>
      </c>
      <c r="I71" s="393">
        <f t="shared" si="33"/>
        <v>2.2406793229653274E-3</v>
      </c>
      <c r="J71" s="393">
        <f t="shared" si="33"/>
        <v>1.6667178295103854E-3</v>
      </c>
      <c r="K71" s="393">
        <f t="shared" si="33"/>
        <v>1.823179493657125E-3</v>
      </c>
      <c r="L71" s="393">
        <f t="shared" si="33"/>
        <v>2.4002754653708264E-3</v>
      </c>
      <c r="M71" s="393">
        <f t="shared" si="33"/>
        <v>3.1764762566907768E-3</v>
      </c>
      <c r="N71" s="393">
        <f t="shared" si="33"/>
        <v>2.9892706222167304E-3</v>
      </c>
      <c r="O71" s="394">
        <f t="shared" si="33"/>
        <v>2.6734949219892355E-2</v>
      </c>
      <c r="Q71" s="9"/>
    </row>
    <row r="72" spans="2:17" ht="15.75">
      <c r="B72" s="371" t="s">
        <v>326</v>
      </c>
      <c r="C72" s="393">
        <f t="shared" ref="C72:O72" si="34">C23/$O$93</f>
        <v>2.3629093504204312E-4</v>
      </c>
      <c r="D72" s="393">
        <f t="shared" si="34"/>
        <v>6.7798805117303979E-5</v>
      </c>
      <c r="E72" s="393">
        <f t="shared" si="34"/>
        <v>2.7838134272465824E-4</v>
      </c>
      <c r="F72" s="393">
        <f t="shared" si="34"/>
        <v>3.4714682262534816E-4</v>
      </c>
      <c r="G72" s="393">
        <f t="shared" si="34"/>
        <v>4.548499167802271E-4</v>
      </c>
      <c r="H72" s="393">
        <f t="shared" si="34"/>
        <v>3.8328989484502738E-4</v>
      </c>
      <c r="I72" s="393">
        <f t="shared" si="34"/>
        <v>5.5860264193193422E-5</v>
      </c>
      <c r="J72" s="393">
        <f t="shared" si="34"/>
        <v>1.6799410421305865E-4</v>
      </c>
      <c r="K72" s="393">
        <f t="shared" si="34"/>
        <v>3.1758596387912853E-4</v>
      </c>
      <c r="L72" s="393">
        <f t="shared" si="34"/>
        <v>2.6168683530989489E-4</v>
      </c>
      <c r="M72" s="393">
        <f t="shared" si="34"/>
        <v>3.5254019521044019E-4</v>
      </c>
      <c r="N72" s="393">
        <f t="shared" si="34"/>
        <v>1.6938747519352758E-4</v>
      </c>
      <c r="O72" s="394">
        <f t="shared" si="34"/>
        <v>3.0928125551338511E-3</v>
      </c>
      <c r="Q72" s="9"/>
    </row>
    <row r="73" spans="2:17" ht="21" customHeight="1">
      <c r="B73" s="376" t="s">
        <v>327</v>
      </c>
      <c r="C73" s="393">
        <f t="shared" ref="C73:O73" si="35">C24/$O$93</f>
        <v>0</v>
      </c>
      <c r="D73" s="393">
        <f t="shared" si="35"/>
        <v>-2.7161979094166111E-7</v>
      </c>
      <c r="E73" s="393">
        <f t="shared" si="35"/>
        <v>0</v>
      </c>
      <c r="F73" s="393">
        <f t="shared" si="35"/>
        <v>-4.2121360062612398E-7</v>
      </c>
      <c r="G73" s="393">
        <f t="shared" si="35"/>
        <v>0</v>
      </c>
      <c r="H73" s="393">
        <f t="shared" si="35"/>
        <v>-1.4055983700237122E-5</v>
      </c>
      <c r="I73" s="393">
        <f t="shared" si="35"/>
        <v>0</v>
      </c>
      <c r="J73" s="393">
        <f t="shared" si="35"/>
        <v>0</v>
      </c>
      <c r="K73" s="393">
        <f t="shared" si="35"/>
        <v>0</v>
      </c>
      <c r="L73" s="393">
        <f t="shared" si="35"/>
        <v>0</v>
      </c>
      <c r="M73" s="393">
        <f t="shared" si="35"/>
        <v>0</v>
      </c>
      <c r="N73" s="393">
        <f t="shared" si="35"/>
        <v>0</v>
      </c>
      <c r="O73" s="394">
        <f t="shared" si="35"/>
        <v>-1.4748817091804907E-5</v>
      </c>
      <c r="Q73" s="9"/>
    </row>
    <row r="74" spans="2:17" ht="24.95" customHeight="1">
      <c r="B74" s="390" t="s">
        <v>269</v>
      </c>
      <c r="C74" s="391">
        <f t="shared" ref="C74:O74" si="36">C25/$O$93</f>
        <v>2.286260933902759E-3</v>
      </c>
      <c r="D74" s="391">
        <f t="shared" si="36"/>
        <v>2.533575275283148E-3</v>
      </c>
      <c r="E74" s="391">
        <f t="shared" si="36"/>
        <v>-6.6069459767477054E-5</v>
      </c>
      <c r="F74" s="391">
        <f t="shared" si="36"/>
        <v>1.1486038465326299E-2</v>
      </c>
      <c r="G74" s="391">
        <f t="shared" si="36"/>
        <v>3.8499583308428211E-3</v>
      </c>
      <c r="H74" s="391">
        <f t="shared" si="36"/>
        <v>2.0729465701579373E-3</v>
      </c>
      <c r="I74" s="391">
        <f t="shared" si="36"/>
        <v>5.3056512112699178E-4</v>
      </c>
      <c r="J74" s="391">
        <f t="shared" si="36"/>
        <v>3.3378536861405086E-3</v>
      </c>
      <c r="K74" s="391">
        <f t="shared" si="36"/>
        <v>2.2797375394988046E-3</v>
      </c>
      <c r="L74" s="391">
        <f t="shared" si="36"/>
        <v>2.3331375512125494E-3</v>
      </c>
      <c r="M74" s="391">
        <f t="shared" si="36"/>
        <v>-1.2158293184322733E-4</v>
      </c>
      <c r="N74" s="391">
        <f t="shared" si="36"/>
        <v>-5.3668840249526941E-3</v>
      </c>
      <c r="O74" s="392">
        <f t="shared" si="36"/>
        <v>2.5155537056928412E-2</v>
      </c>
      <c r="Q74" s="9"/>
    </row>
    <row r="75" spans="2:17" ht="24.95" customHeight="1">
      <c r="B75" s="396" t="s">
        <v>735</v>
      </c>
      <c r="C75" s="391"/>
      <c r="D75" s="391"/>
      <c r="E75" s="391"/>
      <c r="F75" s="391"/>
      <c r="G75" s="391"/>
      <c r="H75" s="391"/>
      <c r="I75" s="391"/>
      <c r="J75" s="391"/>
      <c r="K75" s="391"/>
      <c r="L75" s="391"/>
      <c r="M75" s="391"/>
      <c r="N75" s="391"/>
      <c r="O75" s="392"/>
      <c r="Q75" s="9"/>
    </row>
    <row r="76" spans="2:17" ht="21" customHeight="1">
      <c r="B76" s="399" t="s">
        <v>737</v>
      </c>
      <c r="C76" s="391">
        <f t="shared" ref="C76:O76" si="37">C27/$O$93</f>
        <v>6.6511621648293042E-3</v>
      </c>
      <c r="D76" s="391">
        <f t="shared" si="37"/>
        <v>2.7898967890285517E-3</v>
      </c>
      <c r="E76" s="391">
        <f t="shared" si="37"/>
        <v>-1.8355164233589776E-3</v>
      </c>
      <c r="F76" s="391">
        <f t="shared" si="37"/>
        <v>1.2217647577400001E-2</v>
      </c>
      <c r="G76" s="391">
        <f t="shared" si="37"/>
        <v>2.9781907383553481E-3</v>
      </c>
      <c r="H76" s="391">
        <f t="shared" si="37"/>
        <v>2.1577005893379988E-3</v>
      </c>
      <c r="I76" s="391">
        <f t="shared" si="37"/>
        <v>4.2236539180687382E-3</v>
      </c>
      <c r="J76" s="391">
        <f t="shared" si="37"/>
        <v>4.2087222048165177E-3</v>
      </c>
      <c r="K76" s="391">
        <f t="shared" si="37"/>
        <v>1.6973009306413646E-3</v>
      </c>
      <c r="L76" s="391">
        <f t="shared" si="37"/>
        <v>1.2627125678504865E-3</v>
      </c>
      <c r="M76" s="391">
        <f t="shared" si="37"/>
        <v>-1.5720949283074392E-3</v>
      </c>
      <c r="N76" s="391">
        <f t="shared" si="37"/>
        <v>-5.5769478393146339E-3</v>
      </c>
      <c r="O76" s="392">
        <f t="shared" si="37"/>
        <v>2.9202428289347254E-2</v>
      </c>
      <c r="Q76" s="9"/>
    </row>
    <row r="77" spans="2:17" ht="21" customHeight="1">
      <c r="B77" s="399" t="s">
        <v>736</v>
      </c>
      <c r="C77" s="391">
        <f t="shared" ref="C77:O77" si="38">C28/$O$93</f>
        <v>4.8901472073337683E-3</v>
      </c>
      <c r="D77" s="391">
        <f t="shared" si="38"/>
        <v>1.0621437016331483E-3</v>
      </c>
      <c r="E77" s="391">
        <f t="shared" si="38"/>
        <v>-3.6206614139057407E-3</v>
      </c>
      <c r="F77" s="391">
        <f t="shared" si="38"/>
        <v>1.0480910872806729E-2</v>
      </c>
      <c r="G77" s="391">
        <f t="shared" si="38"/>
        <v>1.2421959128641425E-3</v>
      </c>
      <c r="H77" s="391">
        <f t="shared" si="38"/>
        <v>3.8060513671991567E-4</v>
      </c>
      <c r="I77" s="391">
        <f t="shared" si="38"/>
        <v>2.4337373055246768E-3</v>
      </c>
      <c r="J77" s="391">
        <f t="shared" si="38"/>
        <v>2.4405590158364287E-3</v>
      </c>
      <c r="K77" s="391">
        <f t="shared" si="38"/>
        <v>-1.3334349006357036E-4</v>
      </c>
      <c r="L77" s="391">
        <f t="shared" si="38"/>
        <v>-5.4051260531844765E-4</v>
      </c>
      <c r="M77" s="391">
        <f t="shared" si="38"/>
        <v>-3.6716556731254081E-3</v>
      </c>
      <c r="N77" s="391">
        <f t="shared" si="38"/>
        <v>-8.2419454632687711E-3</v>
      </c>
      <c r="O77" s="392">
        <f t="shared" si="38"/>
        <v>6.7221805070368703E-3</v>
      </c>
      <c r="Q77" s="9"/>
    </row>
    <row r="78" spans="2:17" ht="24.95" customHeight="1">
      <c r="B78" s="397" t="s">
        <v>328</v>
      </c>
      <c r="C78" s="359"/>
      <c r="D78" s="359"/>
      <c r="E78" s="359"/>
      <c r="F78" s="359"/>
      <c r="G78" s="359"/>
      <c r="H78" s="359"/>
      <c r="I78" s="359"/>
      <c r="J78" s="359"/>
      <c r="K78" s="359"/>
      <c r="L78" s="359"/>
      <c r="M78" s="359"/>
      <c r="N78" s="359"/>
      <c r="O78" s="398"/>
      <c r="Q78" s="9"/>
    </row>
    <row r="79" spans="2:17" ht="21" customHeight="1">
      <c r="B79" s="399" t="s">
        <v>329</v>
      </c>
      <c r="C79" s="391">
        <f t="shared" ref="C79:O92" si="39">C30/$O$93</f>
        <v>1.0898039720041368E-3</v>
      </c>
      <c r="D79" s="391">
        <f t="shared" si="39"/>
        <v>1.03152670995673E-3</v>
      </c>
      <c r="E79" s="391">
        <f t="shared" si="39"/>
        <v>-3.3521206265893252E-3</v>
      </c>
      <c r="F79" s="391">
        <f t="shared" si="39"/>
        <v>9.3592488269201198E-3</v>
      </c>
      <c r="G79" s="391">
        <f t="shared" si="39"/>
        <v>1.3132678914488407E-3</v>
      </c>
      <c r="H79" s="391">
        <f t="shared" si="39"/>
        <v>-6.2129249152658816E-4</v>
      </c>
      <c r="I79" s="391">
        <f t="shared" si="39"/>
        <v>-1.6437994317226793E-3</v>
      </c>
      <c r="J79" s="391">
        <f t="shared" si="39"/>
        <v>1.5919899289833874E-3</v>
      </c>
      <c r="K79" s="391">
        <f t="shared" si="39"/>
        <v>2.7249794427705148E-4</v>
      </c>
      <c r="L79" s="391">
        <f t="shared" si="39"/>
        <v>-2.3145943211581632E-4</v>
      </c>
      <c r="M79" s="391">
        <f t="shared" si="39"/>
        <v>-3.4698963240889645E-3</v>
      </c>
      <c r="N79" s="391">
        <f t="shared" si="39"/>
        <v>-8.2225083350148456E-3</v>
      </c>
      <c r="O79" s="392">
        <f t="shared" si="39"/>
        <v>-2.8827413674679531E-3</v>
      </c>
      <c r="Q79" s="9"/>
    </row>
    <row r="80" spans="2:17" ht="21" customHeight="1">
      <c r="B80" s="399" t="s">
        <v>330</v>
      </c>
      <c r="C80" s="391">
        <f t="shared" si="39"/>
        <v>1.0827295836764871E-3</v>
      </c>
      <c r="D80" s="391">
        <f t="shared" si="39"/>
        <v>9.4209752057628719E-4</v>
      </c>
      <c r="E80" s="391">
        <f t="shared" si="39"/>
        <v>-3.5982576012406902E-3</v>
      </c>
      <c r="F80" s="391">
        <f t="shared" si="39"/>
        <v>9.2225995490206342E-3</v>
      </c>
      <c r="G80" s="391">
        <f t="shared" si="39"/>
        <v>1.1939988089683981E-3</v>
      </c>
      <c r="H80" s="391">
        <f t="shared" si="39"/>
        <v>-8.7181687477961678E-4</v>
      </c>
      <c r="I80" s="391">
        <f t="shared" si="39"/>
        <v>-1.7659744660315298E-3</v>
      </c>
      <c r="J80" s="391">
        <f t="shared" si="39"/>
        <v>1.5031417524170646E-3</v>
      </c>
      <c r="K80" s="391">
        <f t="shared" si="39"/>
        <v>1.3897208196255096E-4</v>
      </c>
      <c r="L80" s="391">
        <f t="shared" si="39"/>
        <v>-3.288247494681719E-4</v>
      </c>
      <c r="M80" s="391">
        <f t="shared" si="39"/>
        <v>-3.6505993837444442E-3</v>
      </c>
      <c r="N80" s="391">
        <f t="shared" si="39"/>
        <v>-8.5255421223629519E-3</v>
      </c>
      <c r="O80" s="392">
        <f t="shared" si="39"/>
        <v>-4.6574759010059837E-3</v>
      </c>
      <c r="Q80" s="9"/>
    </row>
    <row r="81" spans="2:17" ht="21" customHeight="1">
      <c r="B81" s="399" t="s">
        <v>355</v>
      </c>
      <c r="C81" s="391">
        <f t="shared" si="39"/>
        <v>-6.7121098549139909E-4</v>
      </c>
      <c r="D81" s="391">
        <f t="shared" si="39"/>
        <v>-6.9622637743867351E-4</v>
      </c>
      <c r="E81" s="391">
        <f t="shared" si="39"/>
        <v>-5.1372656171360881E-3</v>
      </c>
      <c r="F81" s="391">
        <f t="shared" si="39"/>
        <v>7.6225121223268445E-3</v>
      </c>
      <c r="G81" s="391">
        <f t="shared" si="39"/>
        <v>-4.2272693404236467E-4</v>
      </c>
      <c r="H81" s="391">
        <f t="shared" si="39"/>
        <v>-2.3983879441446714E-3</v>
      </c>
      <c r="I81" s="391">
        <f t="shared" si="39"/>
        <v>-3.4337160442667412E-3</v>
      </c>
      <c r="J81" s="391">
        <f t="shared" si="39"/>
        <v>-1.761732599967018E-4</v>
      </c>
      <c r="K81" s="391">
        <f t="shared" si="39"/>
        <v>-1.5581464764278835E-3</v>
      </c>
      <c r="L81" s="391">
        <f t="shared" si="39"/>
        <v>-2.0346846052847504E-3</v>
      </c>
      <c r="M81" s="391">
        <f t="shared" si="39"/>
        <v>-5.5694570689069339E-3</v>
      </c>
      <c r="N81" s="391">
        <f t="shared" si="39"/>
        <v>-1.0887505958968983E-2</v>
      </c>
      <c r="O81" s="392">
        <f t="shared" si="39"/>
        <v>-2.5362989149778345E-2</v>
      </c>
      <c r="Q81" s="9"/>
    </row>
    <row r="82" spans="2:17" ht="24.95" customHeight="1">
      <c r="B82" s="390" t="s">
        <v>332</v>
      </c>
      <c r="C82" s="391">
        <f t="shared" si="39"/>
        <v>5.5747855441096888E-4</v>
      </c>
      <c r="D82" s="391">
        <f t="shared" si="39"/>
        <v>2.2023795782007118E-2</v>
      </c>
      <c r="E82" s="391">
        <f t="shared" si="39"/>
        <v>-5.0467133384708024E-4</v>
      </c>
      <c r="F82" s="391">
        <f t="shared" si="39"/>
        <v>-7.7941930209319101E-4</v>
      </c>
      <c r="G82" s="391">
        <f t="shared" si="39"/>
        <v>-6.0802992822921382E-4</v>
      </c>
      <c r="H82" s="391">
        <f t="shared" si="39"/>
        <v>-1.3443746073186064E-3</v>
      </c>
      <c r="I82" s="391">
        <f t="shared" si="39"/>
        <v>-4.4954391352364432E-4</v>
      </c>
      <c r="J82" s="391">
        <f t="shared" si="39"/>
        <v>-3.4463181506556692E-3</v>
      </c>
      <c r="K82" s="391">
        <f t="shared" si="39"/>
        <v>-1.8430595660216206E-3</v>
      </c>
      <c r="L82" s="391">
        <f t="shared" si="39"/>
        <v>1.391101530930918E-3</v>
      </c>
      <c r="M82" s="391">
        <f t="shared" si="39"/>
        <v>3.5183358095344304E-3</v>
      </c>
      <c r="N82" s="391">
        <f t="shared" si="39"/>
        <v>-3.5329733905328027E-3</v>
      </c>
      <c r="O82" s="392">
        <f t="shared" si="39"/>
        <v>1.4982321484661609E-2</v>
      </c>
      <c r="Q82" s="9"/>
    </row>
    <row r="83" spans="2:17" ht="15.75">
      <c r="B83" s="376" t="s">
        <v>276</v>
      </c>
      <c r="C83" s="393">
        <f t="shared" si="39"/>
        <v>1.1623378245400647E-3</v>
      </c>
      <c r="D83" s="393">
        <f t="shared" si="39"/>
        <v>2.3646769472203309E-2</v>
      </c>
      <c r="E83" s="393">
        <f t="shared" si="39"/>
        <v>1.9289743047668946E-4</v>
      </c>
      <c r="F83" s="393">
        <f t="shared" si="39"/>
        <v>3.0427834356347504E-4</v>
      </c>
      <c r="G83" s="393">
        <f t="shared" si="39"/>
        <v>5.1530897822807072E-4</v>
      </c>
      <c r="H83" s="393">
        <f t="shared" si="39"/>
        <v>1.7810505705037351E-3</v>
      </c>
      <c r="I83" s="393">
        <f t="shared" si="39"/>
        <v>1.8131944879587066E-4</v>
      </c>
      <c r="J83" s="393">
        <f t="shared" si="39"/>
        <v>3.7435444201834323E-4</v>
      </c>
      <c r="K83" s="393">
        <f t="shared" si="39"/>
        <v>4.187990336156534E-3</v>
      </c>
      <c r="L83" s="393">
        <f t="shared" si="39"/>
        <v>2.5291154654791385E-3</v>
      </c>
      <c r="M83" s="393">
        <f t="shared" si="39"/>
        <v>4.6600301207840025E-3</v>
      </c>
      <c r="N83" s="393">
        <f t="shared" si="39"/>
        <v>1.522818943540128E-3</v>
      </c>
      <c r="O83" s="394">
        <f t="shared" si="39"/>
        <v>4.1058271376289375E-2</v>
      </c>
      <c r="P83" s="55"/>
      <c r="Q83" s="9"/>
    </row>
    <row r="84" spans="2:17" ht="15.75">
      <c r="B84" s="376" t="s">
        <v>277</v>
      </c>
      <c r="C84" s="393">
        <f t="shared" si="39"/>
        <v>-6.0485927012909587E-4</v>
      </c>
      <c r="D84" s="393">
        <f t="shared" si="39"/>
        <v>-1.6229736901961934E-3</v>
      </c>
      <c r="E84" s="393">
        <f t="shared" si="39"/>
        <v>-6.9756876432376961E-4</v>
      </c>
      <c r="F84" s="393">
        <f t="shared" si="39"/>
        <v>-1.0836976456566659E-3</v>
      </c>
      <c r="G84" s="393">
        <f t="shared" si="39"/>
        <v>-1.1233389064572847E-3</v>
      </c>
      <c r="H84" s="393">
        <f t="shared" si="39"/>
        <v>-3.1254251778223417E-3</v>
      </c>
      <c r="I84" s="393">
        <f t="shared" si="39"/>
        <v>-6.3086336231951495E-4</v>
      </c>
      <c r="J84" s="393">
        <f t="shared" si="39"/>
        <v>-3.8206725926740125E-3</v>
      </c>
      <c r="K84" s="393">
        <f t="shared" si="39"/>
        <v>-6.0310499021781544E-3</v>
      </c>
      <c r="L84" s="393">
        <f t="shared" si="39"/>
        <v>-1.1380139345482203E-3</v>
      </c>
      <c r="M84" s="393">
        <f t="shared" si="39"/>
        <v>-1.1416943112495723E-3</v>
      </c>
      <c r="N84" s="393">
        <f t="shared" si="39"/>
        <v>-5.0557923340729307E-3</v>
      </c>
      <c r="O84" s="394">
        <f t="shared" si="39"/>
        <v>-2.6075949891627759E-2</v>
      </c>
      <c r="P84" s="55"/>
      <c r="Q84" s="9"/>
    </row>
    <row r="85" spans="2:17" ht="24.95" customHeight="1">
      <c r="B85" s="390" t="s">
        <v>333</v>
      </c>
      <c r="C85" s="391">
        <f t="shared" si="39"/>
        <v>-1.6472825264151056E-3</v>
      </c>
      <c r="D85" s="391">
        <f t="shared" si="39"/>
        <v>-2.3055322491963851E-2</v>
      </c>
      <c r="E85" s="391">
        <f t="shared" si="39"/>
        <v>3.8567919604364045E-3</v>
      </c>
      <c r="F85" s="391">
        <f t="shared" si="39"/>
        <v>-8.5798295248269273E-3</v>
      </c>
      <c r="G85" s="391">
        <f t="shared" si="39"/>
        <v>-7.0523796321962651E-4</v>
      </c>
      <c r="H85" s="391">
        <f t="shared" si="39"/>
        <v>1.9656670988451946E-3</v>
      </c>
      <c r="I85" s="391">
        <f t="shared" si="39"/>
        <v>2.0933433452463243E-3</v>
      </c>
      <c r="J85" s="391">
        <f t="shared" si="39"/>
        <v>1.8543282216722818E-3</v>
      </c>
      <c r="K85" s="391">
        <f t="shared" si="39"/>
        <v>1.5705616217445693E-3</v>
      </c>
      <c r="L85" s="391">
        <f t="shared" si="39"/>
        <v>-1.1596420988151024E-3</v>
      </c>
      <c r="M85" s="391">
        <f t="shared" si="39"/>
        <v>-4.8439485445465362E-5</v>
      </c>
      <c r="N85" s="391">
        <f t="shared" si="39"/>
        <v>1.1755481725547648E-2</v>
      </c>
      <c r="O85" s="392">
        <f t="shared" si="39"/>
        <v>-1.2099580117193654E-2</v>
      </c>
      <c r="Q85" s="9"/>
    </row>
    <row r="86" spans="2:17" ht="15.75">
      <c r="B86" s="376" t="s">
        <v>279</v>
      </c>
      <c r="C86" s="393">
        <f t="shared" si="39"/>
        <v>-4.4363821041183861E-4</v>
      </c>
      <c r="D86" s="393">
        <f t="shared" si="39"/>
        <v>-2.3170599130213972E-2</v>
      </c>
      <c r="E86" s="393">
        <f t="shared" si="39"/>
        <v>2.3660651067856708E-2</v>
      </c>
      <c r="F86" s="393">
        <f t="shared" si="39"/>
        <v>-1.4604879579043137E-3</v>
      </c>
      <c r="G86" s="393">
        <f t="shared" si="39"/>
        <v>-7.8919382524930831E-3</v>
      </c>
      <c r="H86" s="393">
        <f t="shared" si="39"/>
        <v>2.967108833972441E-3</v>
      </c>
      <c r="I86" s="393">
        <f t="shared" si="39"/>
        <v>1.7542142420742643E-3</v>
      </c>
      <c r="J86" s="393">
        <f t="shared" si="39"/>
        <v>1.6738226177261926E-3</v>
      </c>
      <c r="K86" s="393">
        <f t="shared" si="39"/>
        <v>1.3974262645534313E-3</v>
      </c>
      <c r="L86" s="393">
        <f t="shared" si="39"/>
        <v>-1.5633844232001242E-3</v>
      </c>
      <c r="M86" s="393">
        <f t="shared" si="39"/>
        <v>4.9261933482750491E-5</v>
      </c>
      <c r="N86" s="393">
        <f t="shared" si="39"/>
        <v>3.6429360272818043E-3</v>
      </c>
      <c r="O86" s="394">
        <f t="shared" si="39"/>
        <v>6.1537301272426295E-4</v>
      </c>
      <c r="Q86" s="9"/>
    </row>
    <row r="87" spans="2:17" ht="15.75">
      <c r="B87" s="376" t="s">
        <v>282</v>
      </c>
      <c r="C87" s="393">
        <f t="shared" si="39"/>
        <v>9.1058865202421212E-4</v>
      </c>
      <c r="D87" s="393">
        <f t="shared" si="39"/>
        <v>-1.7594768406733484E-4</v>
      </c>
      <c r="E87" s="393">
        <f t="shared" si="39"/>
        <v>-1.2454577515537767E-2</v>
      </c>
      <c r="F87" s="393">
        <f t="shared" si="39"/>
        <v>-7.7393674932214702E-3</v>
      </c>
      <c r="G87" s="393">
        <f t="shared" si="39"/>
        <v>5.6359808761002207E-3</v>
      </c>
      <c r="H87" s="393">
        <f t="shared" si="39"/>
        <v>1.6156248928412542E-3</v>
      </c>
      <c r="I87" s="393">
        <f t="shared" si="39"/>
        <v>6.2416228998991873E-4</v>
      </c>
      <c r="J87" s="393">
        <f t="shared" si="39"/>
        <v>-6.4442623406558975E-4</v>
      </c>
      <c r="K87" s="393">
        <f t="shared" si="39"/>
        <v>-9.2406266575256616E-4</v>
      </c>
      <c r="L87" s="393">
        <f t="shared" si="39"/>
        <v>-1.7045701695725722E-3</v>
      </c>
      <c r="M87" s="393">
        <f t="shared" si="39"/>
        <v>-2.006775246038886E-3</v>
      </c>
      <c r="N87" s="393">
        <f t="shared" si="39"/>
        <v>5.3778785713397429E-3</v>
      </c>
      <c r="O87" s="394">
        <f t="shared" si="39"/>
        <v>-1.1485491725960842E-2</v>
      </c>
      <c r="Q87" s="9"/>
    </row>
    <row r="88" spans="2:17" ht="15.75">
      <c r="B88" s="376" t="s">
        <v>283</v>
      </c>
      <c r="C88" s="393">
        <f t="shared" si="39"/>
        <v>0</v>
      </c>
      <c r="D88" s="393">
        <f t="shared" si="39"/>
        <v>0</v>
      </c>
      <c r="E88" s="393">
        <f t="shared" si="39"/>
        <v>0</v>
      </c>
      <c r="F88" s="393">
        <f t="shared" si="39"/>
        <v>0</v>
      </c>
      <c r="G88" s="393">
        <f t="shared" si="39"/>
        <v>0</v>
      </c>
      <c r="H88" s="393">
        <f t="shared" si="39"/>
        <v>0</v>
      </c>
      <c r="I88" s="393">
        <f t="shared" si="39"/>
        <v>0</v>
      </c>
      <c r="J88" s="393">
        <f t="shared" si="39"/>
        <v>-1.0271761800098442E-4</v>
      </c>
      <c r="K88" s="393">
        <f t="shared" si="39"/>
        <v>0</v>
      </c>
      <c r="L88" s="393">
        <f t="shared" si="39"/>
        <v>0</v>
      </c>
      <c r="M88" s="393">
        <f t="shared" si="39"/>
        <v>0</v>
      </c>
      <c r="N88" s="393">
        <f t="shared" si="39"/>
        <v>-1.9095346712949349E-5</v>
      </c>
      <c r="O88" s="394">
        <f t="shared" si="39"/>
        <v>-1.2181296471393378E-4</v>
      </c>
      <c r="Q88" s="9"/>
    </row>
    <row r="89" spans="2:17" ht="15.75">
      <c r="B89" s="376" t="s">
        <v>284</v>
      </c>
      <c r="C89" s="393">
        <f t="shared" si="39"/>
        <v>2.5550224466733539E-4</v>
      </c>
      <c r="D89" s="393">
        <f t="shared" si="39"/>
        <v>1.8150334415517992E-3</v>
      </c>
      <c r="E89" s="393">
        <f t="shared" si="39"/>
        <v>-2.971597471033541E-3</v>
      </c>
      <c r="F89" s="393">
        <f t="shared" si="39"/>
        <v>2.3304714507438829E-3</v>
      </c>
      <c r="G89" s="393">
        <f t="shared" si="39"/>
        <v>1.5406039946293259E-3</v>
      </c>
      <c r="H89" s="393">
        <f t="shared" si="39"/>
        <v>1.8804003181967885E-3</v>
      </c>
      <c r="I89" s="393">
        <f t="shared" si="39"/>
        <v>2.2257414743358556E-3</v>
      </c>
      <c r="J89" s="393">
        <f t="shared" si="39"/>
        <v>2.955396737480027E-3</v>
      </c>
      <c r="K89" s="393">
        <f t="shared" si="39"/>
        <v>1.8583035991298128E-3</v>
      </c>
      <c r="L89" s="393">
        <f t="shared" si="39"/>
        <v>2.2773664433967146E-3</v>
      </c>
      <c r="M89" s="393">
        <f t="shared" si="39"/>
        <v>1.4986836882425641E-3</v>
      </c>
      <c r="N89" s="393">
        <f t="shared" si="39"/>
        <v>5.6352433515444696E-3</v>
      </c>
      <c r="O89" s="394">
        <f t="shared" si="39"/>
        <v>2.1301149272885036E-2</v>
      </c>
      <c r="Q89" s="9"/>
    </row>
    <row r="90" spans="2:17" ht="15.75">
      <c r="B90" s="376" t="s">
        <v>334</v>
      </c>
      <c r="C90" s="393">
        <f t="shared" si="39"/>
        <v>0</v>
      </c>
      <c r="D90" s="393">
        <f t="shared" si="39"/>
        <v>0</v>
      </c>
      <c r="E90" s="393">
        <f t="shared" si="39"/>
        <v>0</v>
      </c>
      <c r="F90" s="393">
        <f t="shared" si="39"/>
        <v>0</v>
      </c>
      <c r="G90" s="393">
        <f t="shared" si="39"/>
        <v>0</v>
      </c>
      <c r="H90" s="393">
        <f t="shared" si="39"/>
        <v>0</v>
      </c>
      <c r="I90" s="393">
        <f t="shared" si="39"/>
        <v>0</v>
      </c>
      <c r="J90" s="393">
        <f t="shared" si="39"/>
        <v>0</v>
      </c>
      <c r="K90" s="393">
        <f t="shared" si="39"/>
        <v>0</v>
      </c>
      <c r="L90" s="393">
        <f t="shared" si="39"/>
        <v>0</v>
      </c>
      <c r="M90" s="393">
        <f t="shared" si="39"/>
        <v>0</v>
      </c>
      <c r="N90" s="393">
        <f t="shared" si="39"/>
        <v>0</v>
      </c>
      <c r="O90" s="394">
        <f t="shared" si="39"/>
        <v>0</v>
      </c>
      <c r="Q90" s="9"/>
    </row>
    <row r="91" spans="2:17" ht="15.75">
      <c r="B91" s="376" t="s">
        <v>335</v>
      </c>
      <c r="C91" s="393">
        <f t="shared" si="39"/>
        <v>-1.7610149574955357E-3</v>
      </c>
      <c r="D91" s="393">
        <f t="shared" si="39"/>
        <v>-1.7277530873954035E-3</v>
      </c>
      <c r="E91" s="393">
        <f t="shared" si="39"/>
        <v>-1.7851449905467631E-3</v>
      </c>
      <c r="F91" s="393">
        <f t="shared" si="39"/>
        <v>-1.7367367045932739E-3</v>
      </c>
      <c r="G91" s="393">
        <f t="shared" si="39"/>
        <v>-1.7359948254912054E-3</v>
      </c>
      <c r="H91" s="393">
        <f t="shared" si="39"/>
        <v>-1.777095452618083E-3</v>
      </c>
      <c r="I91" s="393">
        <f t="shared" si="39"/>
        <v>-1.7899166125440618E-3</v>
      </c>
      <c r="J91" s="393">
        <f t="shared" si="39"/>
        <v>-1.7681631889800893E-3</v>
      </c>
      <c r="K91" s="393">
        <f t="shared" si="39"/>
        <v>-1.8306444207049348E-3</v>
      </c>
      <c r="L91" s="393">
        <f t="shared" si="39"/>
        <v>-1.8032251731689342E-3</v>
      </c>
      <c r="M91" s="393">
        <f t="shared" si="39"/>
        <v>-2.0995607448179693E-3</v>
      </c>
      <c r="N91" s="393">
        <f t="shared" si="39"/>
        <v>-2.6649976239541363E-3</v>
      </c>
      <c r="O91" s="394">
        <f t="shared" si="39"/>
        <v>-2.2480247782310392E-2</v>
      </c>
      <c r="Q91" s="9"/>
    </row>
    <row r="92" spans="2:17" ht="15.75">
      <c r="B92" s="400" t="s">
        <v>336</v>
      </c>
      <c r="C92" s="401">
        <f t="shared" si="39"/>
        <v>-6.087202551992788E-4</v>
      </c>
      <c r="D92" s="401">
        <f t="shared" si="39"/>
        <v>2.0394396816106485E-4</v>
      </c>
      <c r="E92" s="401">
        <f t="shared" si="39"/>
        <v>-2.5925391303022317E-3</v>
      </c>
      <c r="F92" s="401">
        <f t="shared" si="39"/>
        <v>2.6291180148246279E-5</v>
      </c>
      <c r="G92" s="401">
        <f t="shared" si="39"/>
        <v>1.7461102440351148E-3</v>
      </c>
      <c r="H92" s="401">
        <f t="shared" si="39"/>
        <v>-2.7203714935472062E-3</v>
      </c>
      <c r="I92" s="401">
        <f t="shared" si="39"/>
        <v>-7.2085804860965309E-4</v>
      </c>
      <c r="J92" s="401">
        <f t="shared" si="39"/>
        <v>-2.5958409248727407E-4</v>
      </c>
      <c r="K92" s="401">
        <f t="shared" si="39"/>
        <v>1.0695388445188263E-3</v>
      </c>
      <c r="L92" s="401">
        <f t="shared" si="39"/>
        <v>1.6341712237298142E-3</v>
      </c>
      <c r="M92" s="401">
        <f t="shared" si="39"/>
        <v>2.5099508836860756E-3</v>
      </c>
      <c r="N92" s="401">
        <f t="shared" si="39"/>
        <v>-2.1648325395128313E-4</v>
      </c>
      <c r="O92" s="402">
        <f t="shared" si="39"/>
        <v>7.1450070182214656E-5</v>
      </c>
      <c r="Q92" s="9"/>
    </row>
    <row r="93" spans="2:17" ht="24.95" customHeight="1" thickBot="1">
      <c r="B93" s="403" t="s">
        <v>359</v>
      </c>
      <c r="C93" s="404"/>
      <c r="D93" s="405"/>
      <c r="E93" s="405"/>
      <c r="F93" s="405"/>
      <c r="G93" s="405"/>
      <c r="H93" s="405"/>
      <c r="I93" s="405"/>
      <c r="J93" s="405"/>
      <c r="K93" s="405"/>
      <c r="L93" s="405"/>
      <c r="M93" s="405"/>
      <c r="N93" s="405"/>
      <c r="O93" s="496">
        <v>24927.97</v>
      </c>
      <c r="Q93" s="9"/>
    </row>
    <row r="94" spans="2:17">
      <c r="B94" s="48" t="s">
        <v>338</v>
      </c>
      <c r="Q94" s="9"/>
    </row>
    <row r="95" spans="2:17">
      <c r="B95" s="48" t="s">
        <v>620</v>
      </c>
      <c r="Q95" s="9"/>
    </row>
    <row r="96" spans="2:17">
      <c r="Q96" s="9"/>
    </row>
    <row r="97" spans="2:17" ht="16.5" thickBot="1">
      <c r="B97" s="353" t="s">
        <v>340</v>
      </c>
      <c r="C97" s="2"/>
      <c r="D97" s="2"/>
      <c r="E97" s="2"/>
      <c r="F97" s="2"/>
      <c r="G97" s="2"/>
      <c r="H97" s="2"/>
      <c r="I97" s="2"/>
      <c r="J97" s="2"/>
      <c r="K97" s="2"/>
      <c r="L97" s="2"/>
      <c r="M97" s="2"/>
      <c r="N97" s="2"/>
      <c r="O97" s="2"/>
      <c r="Q97" s="9"/>
    </row>
    <row r="98" spans="2:17" ht="24.95" customHeight="1" thickBot="1">
      <c r="B98" s="407" t="s">
        <v>357</v>
      </c>
      <c r="C98" s="408">
        <f t="shared" ref="C98:O98" si="40">C49/$O$93</f>
        <v>1.7610149574955357E-3</v>
      </c>
      <c r="D98" s="409">
        <f t="shared" si="40"/>
        <v>1.7277530873954035E-3</v>
      </c>
      <c r="E98" s="409">
        <f t="shared" si="40"/>
        <v>1.7851449905467631E-3</v>
      </c>
      <c r="F98" s="409">
        <f t="shared" si="40"/>
        <v>1.7367367045932739E-3</v>
      </c>
      <c r="G98" s="409">
        <f t="shared" si="40"/>
        <v>1.7359948254912054E-3</v>
      </c>
      <c r="H98" s="409">
        <f t="shared" si="40"/>
        <v>1.777095452618083E-3</v>
      </c>
      <c r="I98" s="409">
        <f t="shared" si="40"/>
        <v>1.7899166125440618E-3</v>
      </c>
      <c r="J98" s="409">
        <f t="shared" si="40"/>
        <v>1.7681631889800893E-3</v>
      </c>
      <c r="K98" s="409">
        <f t="shared" si="40"/>
        <v>1.8306444207049348E-3</v>
      </c>
      <c r="L98" s="409">
        <f t="shared" si="40"/>
        <v>1.8032251731689342E-3</v>
      </c>
      <c r="M98" s="409">
        <f t="shared" si="40"/>
        <v>2.0995607448179693E-3</v>
      </c>
      <c r="N98" s="410">
        <f t="shared" si="40"/>
        <v>2.6649976239541363E-3</v>
      </c>
      <c r="O98" s="411">
        <f t="shared" si="40"/>
        <v>2.2480247782310392E-2</v>
      </c>
      <c r="Q98" s="9"/>
    </row>
    <row r="99" spans="2:17">
      <c r="Q99" s="9"/>
    </row>
    <row r="100" spans="2:17">
      <c r="Q100" s="9"/>
    </row>
  </sheetData>
  <printOptions horizontalCentered="1"/>
  <pageMargins left="0.7" right="0.7" top="0.75" bottom="0.75" header="0.3" footer="0.3"/>
  <pageSetup scale="2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00"/>
  <sheetViews>
    <sheetView workbookViewId="0"/>
  </sheetViews>
  <sheetFormatPr baseColWidth="10" defaultRowHeight="15"/>
  <cols>
    <col min="1" max="1" width="2.7109375" customWidth="1"/>
    <col min="2" max="2" width="52.42578125" customWidth="1"/>
    <col min="3" max="14" width="8.7109375" customWidth="1"/>
    <col min="15" max="15" width="9.28515625" customWidth="1"/>
  </cols>
  <sheetData>
    <row r="1" spans="1:17" ht="15.75">
      <c r="A1" s="2"/>
      <c r="B1" s="353" t="s">
        <v>18</v>
      </c>
      <c r="C1" s="2"/>
      <c r="D1" s="2"/>
      <c r="E1" s="2"/>
      <c r="F1" s="2"/>
      <c r="G1" s="2"/>
      <c r="H1" s="2"/>
      <c r="I1" s="2"/>
      <c r="J1" s="2"/>
      <c r="K1" s="2"/>
      <c r="L1" s="2"/>
      <c r="M1" s="2"/>
      <c r="N1" s="2"/>
      <c r="O1" s="2"/>
      <c r="P1" s="2"/>
    </row>
    <row r="2" spans="1:17" ht="15.75">
      <c r="A2" s="2"/>
      <c r="B2" s="353" t="s">
        <v>724</v>
      </c>
      <c r="C2" s="2"/>
      <c r="D2" s="2"/>
      <c r="E2" s="2"/>
      <c r="F2" s="2"/>
      <c r="G2" s="2"/>
      <c r="H2" s="2"/>
      <c r="I2" s="268"/>
      <c r="J2" s="268"/>
      <c r="K2" s="268"/>
      <c r="L2" s="268"/>
      <c r="M2" s="268"/>
      <c r="N2" s="268"/>
      <c r="O2" s="268"/>
      <c r="P2" s="2"/>
    </row>
    <row r="3" spans="1:17" ht="15.75">
      <c r="A3" s="2"/>
      <c r="B3" s="353" t="s">
        <v>19</v>
      </c>
      <c r="C3" s="2"/>
      <c r="D3" s="2"/>
      <c r="E3" s="2"/>
      <c r="F3" s="2"/>
      <c r="G3" s="2"/>
      <c r="H3" s="2"/>
      <c r="I3" s="268"/>
      <c r="J3" s="268"/>
      <c r="K3" s="268"/>
      <c r="L3" s="268"/>
      <c r="M3" s="268"/>
      <c r="N3" s="268"/>
      <c r="O3" s="268"/>
      <c r="P3" s="2"/>
    </row>
    <row r="4" spans="1:17" ht="16.5" thickBot="1">
      <c r="A4" s="2"/>
      <c r="B4" s="354"/>
      <c r="C4" s="2"/>
      <c r="D4" s="2"/>
      <c r="E4" s="2"/>
      <c r="F4" s="2"/>
      <c r="G4" s="2"/>
      <c r="H4" s="2"/>
      <c r="I4" s="2"/>
      <c r="J4" s="2"/>
      <c r="K4" s="2"/>
      <c r="L4" s="2"/>
      <c r="M4" s="2"/>
      <c r="N4" s="2"/>
      <c r="O4" s="2"/>
      <c r="P4" s="2"/>
    </row>
    <row r="5" spans="1:17"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696</v>
      </c>
      <c r="P5" s="2"/>
    </row>
    <row r="6" spans="1:17" ht="15.75">
      <c r="A6" s="2"/>
      <c r="B6" s="358"/>
      <c r="C6" s="359"/>
      <c r="D6" s="359"/>
      <c r="E6" s="359"/>
      <c r="F6" s="359"/>
      <c r="G6" s="359"/>
      <c r="H6" s="359"/>
      <c r="I6" s="359"/>
      <c r="J6" s="359"/>
      <c r="K6" s="359"/>
      <c r="L6" s="359"/>
      <c r="M6" s="359"/>
      <c r="N6" s="359"/>
      <c r="O6" s="360"/>
      <c r="P6" s="2"/>
      <c r="Q6" s="9"/>
    </row>
    <row r="7" spans="1:17" ht="24.95" customHeight="1">
      <c r="A7" s="2"/>
      <c r="B7" s="390" t="s">
        <v>239</v>
      </c>
      <c r="C7" s="494">
        <f t="shared" ref="C7:N7" si="0">+C8+C12+C13</f>
        <v>514.08344021999994</v>
      </c>
      <c r="D7" s="494">
        <f t="shared" si="0"/>
        <v>436.63009233000002</v>
      </c>
      <c r="E7" s="494">
        <f t="shared" si="0"/>
        <v>437.53321073000001</v>
      </c>
      <c r="F7" s="494">
        <f t="shared" si="0"/>
        <v>878.53203435900002</v>
      </c>
      <c r="G7" s="494">
        <f t="shared" si="0"/>
        <v>439.1148978899999</v>
      </c>
      <c r="H7" s="494">
        <f t="shared" si="0"/>
        <v>436.79396392000001</v>
      </c>
      <c r="I7" s="494">
        <f t="shared" si="0"/>
        <v>488.30972284000001</v>
      </c>
      <c r="J7" s="494">
        <f t="shared" si="0"/>
        <v>446.17258082000001</v>
      </c>
      <c r="K7" s="494">
        <f t="shared" si="0"/>
        <v>431.91302410000003</v>
      </c>
      <c r="L7" s="494">
        <f t="shared" si="0"/>
        <v>463.54996231000001</v>
      </c>
      <c r="M7" s="494">
        <f t="shared" si="0"/>
        <v>466.56692783316339</v>
      </c>
      <c r="N7" s="494">
        <f t="shared" si="0"/>
        <v>557.59801132999996</v>
      </c>
      <c r="O7" s="495">
        <f>SUM(C7:N7)</f>
        <v>5996.7978686821643</v>
      </c>
      <c r="P7" s="2"/>
      <c r="Q7" s="9"/>
    </row>
    <row r="8" spans="1:17" ht="21" customHeight="1">
      <c r="A8" s="2"/>
      <c r="B8" s="376" t="s">
        <v>240</v>
      </c>
      <c r="C8" s="497">
        <f>+C9+C10+C11</f>
        <v>510.93944786999992</v>
      </c>
      <c r="D8" s="497">
        <f t="shared" ref="D8:N8" si="1">+D9+D10+D11</f>
        <v>430.37410832</v>
      </c>
      <c r="E8" s="497">
        <f t="shared" si="1"/>
        <v>433.30433793999998</v>
      </c>
      <c r="F8" s="497">
        <f t="shared" si="1"/>
        <v>874.14343210900006</v>
      </c>
      <c r="G8" s="497">
        <f t="shared" si="1"/>
        <v>433.68312358999992</v>
      </c>
      <c r="H8" s="497">
        <f t="shared" si="1"/>
        <v>433.97284464000001</v>
      </c>
      <c r="I8" s="497">
        <f t="shared" si="1"/>
        <v>484.06422214000003</v>
      </c>
      <c r="J8" s="497">
        <f t="shared" si="1"/>
        <v>444.57436311999999</v>
      </c>
      <c r="K8" s="497">
        <f t="shared" si="1"/>
        <v>424.19680561000001</v>
      </c>
      <c r="L8" s="497">
        <f t="shared" si="1"/>
        <v>461.63746263000002</v>
      </c>
      <c r="M8" s="497">
        <f t="shared" si="1"/>
        <v>458.5977992831634</v>
      </c>
      <c r="N8" s="497">
        <f t="shared" si="1"/>
        <v>546.87852363000002</v>
      </c>
      <c r="O8" s="498">
        <f t="shared" ref="O8:O13" si="2">SUM(C8:N8)</f>
        <v>5936.3664708821634</v>
      </c>
      <c r="P8" s="2"/>
      <c r="Q8" s="9"/>
    </row>
    <row r="9" spans="1:17" ht="18.75">
      <c r="A9" s="2"/>
      <c r="B9" s="371" t="s">
        <v>351</v>
      </c>
      <c r="C9" s="497">
        <v>431.26347660999994</v>
      </c>
      <c r="D9" s="497">
        <v>337.62567568999998</v>
      </c>
      <c r="E9" s="497">
        <v>354.02883562999995</v>
      </c>
      <c r="F9" s="497">
        <v>789.95109948900006</v>
      </c>
      <c r="G9" s="497">
        <v>349.71272708999993</v>
      </c>
      <c r="H9" s="497">
        <v>354.9273</v>
      </c>
      <c r="I9" s="497">
        <v>367.14285868000002</v>
      </c>
      <c r="J9" s="497">
        <v>365.87977172000001</v>
      </c>
      <c r="K9" s="497">
        <v>340.52541669999999</v>
      </c>
      <c r="L9" s="497">
        <v>366.79836201000001</v>
      </c>
      <c r="M9" s="497">
        <v>359.79172616</v>
      </c>
      <c r="N9" s="497">
        <v>351.65469999999999</v>
      </c>
      <c r="O9" s="498">
        <f t="shared" si="2"/>
        <v>4769.3019497790001</v>
      </c>
      <c r="P9" s="2"/>
      <c r="Q9" s="9"/>
    </row>
    <row r="10" spans="1:17" ht="15.75">
      <c r="A10" s="2"/>
      <c r="B10" s="371" t="s">
        <v>317</v>
      </c>
      <c r="C10" s="497">
        <v>67.33961008</v>
      </c>
      <c r="D10" s="497">
        <v>81.065016580000005</v>
      </c>
      <c r="E10" s="497">
        <v>71.085960100000008</v>
      </c>
      <c r="F10" s="497">
        <v>73.809875109999993</v>
      </c>
      <c r="G10" s="497">
        <v>70.258732539999997</v>
      </c>
      <c r="H10" s="497">
        <v>68.065095679999999</v>
      </c>
      <c r="I10" s="497">
        <v>95.033104460000004</v>
      </c>
      <c r="J10" s="497">
        <v>68.577553550000005</v>
      </c>
      <c r="K10" s="497">
        <v>72.795885859999999</v>
      </c>
      <c r="L10" s="497">
        <v>66.583681519999999</v>
      </c>
      <c r="M10" s="497">
        <v>74.191808309999999</v>
      </c>
      <c r="N10" s="497">
        <v>186.68459485</v>
      </c>
      <c r="O10" s="498">
        <f t="shared" si="2"/>
        <v>995.49091864000002</v>
      </c>
      <c r="P10" s="2"/>
      <c r="Q10" s="9"/>
    </row>
    <row r="11" spans="1:17" ht="15.75">
      <c r="A11" s="2"/>
      <c r="B11" s="371" t="s">
        <v>318</v>
      </c>
      <c r="C11" s="497">
        <v>12.336361180000004</v>
      </c>
      <c r="D11" s="497">
        <v>11.683416049999998</v>
      </c>
      <c r="E11" s="497">
        <v>8.1895422100000026</v>
      </c>
      <c r="F11" s="497">
        <v>10.382457510000002</v>
      </c>
      <c r="G11" s="497">
        <v>13.711663959999999</v>
      </c>
      <c r="H11" s="497">
        <v>10.980448960000004</v>
      </c>
      <c r="I11" s="497">
        <v>21.888259000000005</v>
      </c>
      <c r="J11" s="497">
        <v>10.117037849999996</v>
      </c>
      <c r="K11" s="497">
        <v>10.875503050000027</v>
      </c>
      <c r="L11" s="497">
        <v>28.25541909999998</v>
      </c>
      <c r="M11" s="497">
        <v>24.614264813163388</v>
      </c>
      <c r="N11" s="497">
        <v>8.539228780000002</v>
      </c>
      <c r="O11" s="498">
        <f t="shared" si="2"/>
        <v>171.57360246316338</v>
      </c>
      <c r="P11" s="2"/>
      <c r="Q11" s="9"/>
    </row>
    <row r="12" spans="1:17" ht="21" customHeight="1">
      <c r="A12" s="2"/>
      <c r="B12" s="376" t="s">
        <v>244</v>
      </c>
      <c r="C12" s="497">
        <v>0</v>
      </c>
      <c r="D12" s="497">
        <v>0</v>
      </c>
      <c r="E12" s="497">
        <v>0</v>
      </c>
      <c r="F12" s="497">
        <v>0</v>
      </c>
      <c r="G12" s="497">
        <v>0</v>
      </c>
      <c r="H12" s="497">
        <v>0</v>
      </c>
      <c r="I12" s="497">
        <v>0</v>
      </c>
      <c r="J12" s="497">
        <v>0</v>
      </c>
      <c r="K12" s="497">
        <v>0</v>
      </c>
      <c r="L12" s="497">
        <v>0</v>
      </c>
      <c r="M12" s="497">
        <v>0</v>
      </c>
      <c r="N12" s="497">
        <v>0</v>
      </c>
      <c r="O12" s="498">
        <f t="shared" si="2"/>
        <v>0</v>
      </c>
      <c r="P12" s="2"/>
      <c r="Q12" s="9"/>
    </row>
    <row r="13" spans="1:17" ht="21" customHeight="1">
      <c r="A13" s="2"/>
      <c r="B13" s="376" t="s">
        <v>245</v>
      </c>
      <c r="C13" s="497">
        <v>3.1439923500000004</v>
      </c>
      <c r="D13" s="497">
        <v>6.2559840099999988</v>
      </c>
      <c r="E13" s="497">
        <v>4.2288727899999996</v>
      </c>
      <c r="F13" s="497">
        <v>4.3886022499999999</v>
      </c>
      <c r="G13" s="497">
        <v>5.4317742999999998</v>
      </c>
      <c r="H13" s="497">
        <v>2.82111928</v>
      </c>
      <c r="I13" s="497">
        <v>4.2455007</v>
      </c>
      <c r="J13" s="497">
        <v>1.5982177000000002</v>
      </c>
      <c r="K13" s="497">
        <v>7.716218490000001</v>
      </c>
      <c r="L13" s="497">
        <v>1.9124996799999998</v>
      </c>
      <c r="M13" s="497">
        <v>7.9691285499999989</v>
      </c>
      <c r="N13" s="497">
        <v>10.719487699999998</v>
      </c>
      <c r="O13" s="498">
        <f t="shared" si="2"/>
        <v>60.431397799999999</v>
      </c>
      <c r="P13" s="2"/>
      <c r="Q13" s="9"/>
    </row>
    <row r="14" spans="1:17" ht="24.95" customHeight="1">
      <c r="A14" s="2"/>
      <c r="B14" s="390" t="s">
        <v>246</v>
      </c>
      <c r="C14" s="494">
        <f>+C15+C21+C24</f>
        <v>491.55245195100002</v>
      </c>
      <c r="D14" s="494">
        <f t="shared" ref="D14:N14" si="3">+D15+D21+D24</f>
        <v>469.56735070999997</v>
      </c>
      <c r="E14" s="494">
        <f t="shared" si="3"/>
        <v>528.49250451</v>
      </c>
      <c r="F14" s="494">
        <f t="shared" si="3"/>
        <v>471.66679993000002</v>
      </c>
      <c r="G14" s="494">
        <f t="shared" si="3"/>
        <v>574.50044624999987</v>
      </c>
      <c r="H14" s="494">
        <f t="shared" si="3"/>
        <v>535.35228923</v>
      </c>
      <c r="I14" s="494">
        <f t="shared" si="3"/>
        <v>581.47707442000001</v>
      </c>
      <c r="J14" s="494">
        <f t="shared" si="3"/>
        <v>493.73098553999995</v>
      </c>
      <c r="K14" s="494">
        <f t="shared" si="3"/>
        <v>491.50122339600006</v>
      </c>
      <c r="L14" s="494">
        <f t="shared" si="3"/>
        <v>462.05914502299999</v>
      </c>
      <c r="M14" s="494">
        <f t="shared" si="3"/>
        <v>455.75233789179396</v>
      </c>
      <c r="N14" s="494">
        <f t="shared" si="3"/>
        <v>769.59232872754035</v>
      </c>
      <c r="O14" s="495">
        <f>SUM(C14:N14)</f>
        <v>6325.244937579334</v>
      </c>
      <c r="P14" s="2"/>
      <c r="Q14" s="9"/>
    </row>
    <row r="15" spans="1:17" ht="21" customHeight="1">
      <c r="A15" s="2"/>
      <c r="B15" s="376" t="s">
        <v>247</v>
      </c>
      <c r="C15" s="497">
        <f>+C16+C19+C20</f>
        <v>426.46208697750001</v>
      </c>
      <c r="D15" s="497">
        <f t="shared" ref="D15:N15" si="4">+D16+D19+D20</f>
        <v>411.55838435250001</v>
      </c>
      <c r="E15" s="497">
        <f t="shared" si="4"/>
        <v>457.69637905249999</v>
      </c>
      <c r="F15" s="497">
        <f t="shared" si="4"/>
        <v>397.74667221250002</v>
      </c>
      <c r="G15" s="497">
        <f t="shared" si="4"/>
        <v>481.7041700824999</v>
      </c>
      <c r="H15" s="497">
        <f t="shared" si="4"/>
        <v>463.17063685249997</v>
      </c>
      <c r="I15" s="497">
        <f t="shared" si="4"/>
        <v>505.54624415249998</v>
      </c>
      <c r="J15" s="497">
        <f t="shared" si="4"/>
        <v>415.2678346925</v>
      </c>
      <c r="K15" s="497">
        <f t="shared" si="4"/>
        <v>424.26104386850005</v>
      </c>
      <c r="L15" s="497">
        <f t="shared" si="4"/>
        <v>400.23917740549996</v>
      </c>
      <c r="M15" s="497">
        <f t="shared" si="4"/>
        <v>384.65579425679397</v>
      </c>
      <c r="N15" s="497">
        <f t="shared" si="4"/>
        <v>668.55967055614656</v>
      </c>
      <c r="O15" s="498">
        <f t="shared" ref="O15:O24" si="5">SUM(C15:N15)</f>
        <v>5436.8680944619409</v>
      </c>
      <c r="P15" s="2"/>
      <c r="Q15" s="9"/>
    </row>
    <row r="16" spans="1:17" ht="15.75">
      <c r="A16" s="2"/>
      <c r="B16" s="371" t="s">
        <v>321</v>
      </c>
      <c r="C16" s="497">
        <f>+C17+C18</f>
        <v>257.73130263749999</v>
      </c>
      <c r="D16" s="497">
        <f t="shared" ref="D16:N16" si="6">+D17+D18</f>
        <v>290.21489405249997</v>
      </c>
      <c r="E16" s="497">
        <f t="shared" si="6"/>
        <v>306.30108434249996</v>
      </c>
      <c r="F16" s="497">
        <f t="shared" si="6"/>
        <v>299.10062980249995</v>
      </c>
      <c r="G16" s="497">
        <f t="shared" si="6"/>
        <v>334.59979225249992</v>
      </c>
      <c r="H16" s="497">
        <f t="shared" si="6"/>
        <v>301.30043488249999</v>
      </c>
      <c r="I16" s="497">
        <f t="shared" si="6"/>
        <v>306.59812547249999</v>
      </c>
      <c r="J16" s="497">
        <f t="shared" si="6"/>
        <v>291.27340108250002</v>
      </c>
      <c r="K16" s="497">
        <f t="shared" si="6"/>
        <v>284.99618789850001</v>
      </c>
      <c r="L16" s="497">
        <f t="shared" si="6"/>
        <v>286.37355111249997</v>
      </c>
      <c r="M16" s="497">
        <f t="shared" si="6"/>
        <v>278.61124192499994</v>
      </c>
      <c r="N16" s="497">
        <f t="shared" si="6"/>
        <v>521.67515542249998</v>
      </c>
      <c r="O16" s="498">
        <f t="shared" si="5"/>
        <v>3758.7758008834999</v>
      </c>
      <c r="P16" s="2"/>
      <c r="Q16" s="9"/>
    </row>
    <row r="17" spans="1:18" ht="15.75">
      <c r="A17" s="2"/>
      <c r="B17" s="395" t="s">
        <v>322</v>
      </c>
      <c r="C17" s="497">
        <v>197.23408434825001</v>
      </c>
      <c r="D17" s="497">
        <v>199.57188123174996</v>
      </c>
      <c r="E17" s="497">
        <v>217.72328274074997</v>
      </c>
      <c r="F17" s="497">
        <v>204.28931134174996</v>
      </c>
      <c r="G17" s="497">
        <v>212.56708449774996</v>
      </c>
      <c r="H17" s="497">
        <v>225.77629861774997</v>
      </c>
      <c r="I17" s="497">
        <v>215.44029395974997</v>
      </c>
      <c r="J17" s="497">
        <v>193.49634956975001</v>
      </c>
      <c r="K17" s="497">
        <v>206.64686795295</v>
      </c>
      <c r="L17" s="497">
        <v>201.57810697874999</v>
      </c>
      <c r="M17" s="497">
        <v>200.71484388749997</v>
      </c>
      <c r="N17" s="497">
        <v>366.80496229774997</v>
      </c>
      <c r="O17" s="498">
        <f t="shared" si="5"/>
        <v>2641.8433674244498</v>
      </c>
      <c r="P17" s="2"/>
      <c r="Q17" s="9"/>
    </row>
    <row r="18" spans="1:18" ht="15.75">
      <c r="A18" s="2"/>
      <c r="B18" s="395" t="s">
        <v>323</v>
      </c>
      <c r="C18" s="497">
        <v>60.49721828925</v>
      </c>
      <c r="D18" s="497">
        <v>90.643012820749988</v>
      </c>
      <c r="E18" s="497">
        <v>88.577801601750011</v>
      </c>
      <c r="F18" s="497">
        <v>94.811318460749987</v>
      </c>
      <c r="G18" s="497">
        <v>122.03270775474999</v>
      </c>
      <c r="H18" s="497">
        <v>75.524136264749998</v>
      </c>
      <c r="I18" s="497">
        <v>91.157831512749993</v>
      </c>
      <c r="J18" s="497">
        <v>97.777051512750006</v>
      </c>
      <c r="K18" s="497">
        <v>78.349319945550008</v>
      </c>
      <c r="L18" s="497">
        <v>84.795444133749982</v>
      </c>
      <c r="M18" s="497">
        <v>77.896398037499992</v>
      </c>
      <c r="N18" s="497">
        <v>154.87019312475002</v>
      </c>
      <c r="O18" s="498">
        <f t="shared" si="5"/>
        <v>1116.9324334590499</v>
      </c>
      <c r="P18" s="2"/>
      <c r="Q18" s="9"/>
    </row>
    <row r="19" spans="1:18" ht="15.75">
      <c r="A19" s="2"/>
      <c r="B19" s="371" t="s">
        <v>352</v>
      </c>
      <c r="C19" s="497">
        <v>130.7956318</v>
      </c>
      <c r="D19" s="497">
        <v>58.018679590000005</v>
      </c>
      <c r="E19" s="497">
        <v>100.17363446</v>
      </c>
      <c r="F19" s="497">
        <v>43.010597660000002</v>
      </c>
      <c r="G19" s="497">
        <v>48.984343779999996</v>
      </c>
      <c r="H19" s="497">
        <v>101.34793843000001</v>
      </c>
      <c r="I19" s="497">
        <v>127.06046517999998</v>
      </c>
      <c r="J19" s="497">
        <v>62.12739538000001</v>
      </c>
      <c r="K19" s="497">
        <v>78.759060710000014</v>
      </c>
      <c r="L19" s="497">
        <v>52.174456033000006</v>
      </c>
      <c r="M19" s="497">
        <v>47.783810071793972</v>
      </c>
      <c r="N19" s="497">
        <v>73.841353383646577</v>
      </c>
      <c r="O19" s="498">
        <f t="shared" si="5"/>
        <v>924.07736647844047</v>
      </c>
      <c r="P19" s="2"/>
      <c r="Q19" s="9"/>
    </row>
    <row r="20" spans="1:18" ht="15.75">
      <c r="A20" s="2"/>
      <c r="B20" s="371" t="s">
        <v>325</v>
      </c>
      <c r="C20" s="497">
        <v>37.935152539999997</v>
      </c>
      <c r="D20" s="497">
        <v>63.324810710000001</v>
      </c>
      <c r="E20" s="497">
        <v>51.221660249999999</v>
      </c>
      <c r="F20" s="497">
        <v>55.635444750000005</v>
      </c>
      <c r="G20" s="497">
        <v>98.120034049999973</v>
      </c>
      <c r="H20" s="497">
        <v>60.52226353999999</v>
      </c>
      <c r="I20" s="497">
        <v>71.887653499999999</v>
      </c>
      <c r="J20" s="497">
        <v>61.867038230000006</v>
      </c>
      <c r="K20" s="497">
        <v>60.505795260000006</v>
      </c>
      <c r="L20" s="497">
        <v>61.691170260000007</v>
      </c>
      <c r="M20" s="497">
        <v>58.260742260000015</v>
      </c>
      <c r="N20" s="497">
        <v>73.043161749999982</v>
      </c>
      <c r="O20" s="498">
        <f t="shared" si="5"/>
        <v>754.01492710000002</v>
      </c>
      <c r="P20" s="2"/>
      <c r="Q20" s="9"/>
    </row>
    <row r="21" spans="1:18" ht="21" customHeight="1">
      <c r="A21" s="2"/>
      <c r="B21" s="376" t="s">
        <v>259</v>
      </c>
      <c r="C21" s="497">
        <f>+C22+C23</f>
        <v>65.090364973500002</v>
      </c>
      <c r="D21" s="497">
        <f t="shared" ref="D21:N21" si="7">+D22+D23</f>
        <v>58.015602157500005</v>
      </c>
      <c r="E21" s="497">
        <f t="shared" si="7"/>
        <v>70.796125457499997</v>
      </c>
      <c r="F21" s="497">
        <f t="shared" si="7"/>
        <v>73.920127717500009</v>
      </c>
      <c r="G21" s="497">
        <f t="shared" si="7"/>
        <v>92.796276167500011</v>
      </c>
      <c r="H21" s="497">
        <f t="shared" si="7"/>
        <v>72.336086857500021</v>
      </c>
      <c r="I21" s="497">
        <f t="shared" si="7"/>
        <v>75.930830267499999</v>
      </c>
      <c r="J21" s="497">
        <f t="shared" si="7"/>
        <v>78.469786647499987</v>
      </c>
      <c r="K21" s="497">
        <f t="shared" si="7"/>
        <v>67.240179527500004</v>
      </c>
      <c r="L21" s="497">
        <f t="shared" si="7"/>
        <v>61.819967617500005</v>
      </c>
      <c r="M21" s="497">
        <f t="shared" si="7"/>
        <v>71.096543635000003</v>
      </c>
      <c r="N21" s="497">
        <f t="shared" si="7"/>
        <v>101.03265817139378</v>
      </c>
      <c r="O21" s="498">
        <f>SUM(C21:N21)</f>
        <v>888.54454919739385</v>
      </c>
      <c r="P21" s="2"/>
      <c r="Q21" s="9"/>
    </row>
    <row r="22" spans="1:18" ht="15.75">
      <c r="A22" s="2"/>
      <c r="B22" s="371" t="s">
        <v>260</v>
      </c>
      <c r="C22" s="497">
        <v>65.071113373499998</v>
      </c>
      <c r="D22" s="497">
        <v>52.583096947500003</v>
      </c>
      <c r="E22" s="497">
        <v>64.668173937500001</v>
      </c>
      <c r="F22" s="497">
        <v>66.189242017500007</v>
      </c>
      <c r="G22" s="497">
        <v>84.941235297500015</v>
      </c>
      <c r="H22" s="497">
        <v>64.616566977500014</v>
      </c>
      <c r="I22" s="497">
        <v>69.519974777499996</v>
      </c>
      <c r="J22" s="497">
        <v>68.804772457499993</v>
      </c>
      <c r="K22" s="497">
        <v>63.110429497500007</v>
      </c>
      <c r="L22" s="497">
        <v>56.003911297500004</v>
      </c>
      <c r="M22" s="497">
        <v>66.746922374999997</v>
      </c>
      <c r="N22" s="497">
        <v>98.822422351393783</v>
      </c>
      <c r="O22" s="498">
        <f t="shared" si="5"/>
        <v>821.07786130739407</v>
      </c>
      <c r="P22" s="2"/>
      <c r="Q22" s="9"/>
    </row>
    <row r="23" spans="1:18" ht="15.75">
      <c r="A23" s="2"/>
      <c r="B23" s="371" t="s">
        <v>326</v>
      </c>
      <c r="C23" s="497">
        <v>1.9251600000000001E-2</v>
      </c>
      <c r="D23" s="497">
        <v>5.4325052100000004</v>
      </c>
      <c r="E23" s="497">
        <v>6.1279515200000008</v>
      </c>
      <c r="F23" s="497">
        <v>7.7308857</v>
      </c>
      <c r="G23" s="497">
        <v>7.855040869999999</v>
      </c>
      <c r="H23" s="497">
        <v>7.7195198800000009</v>
      </c>
      <c r="I23" s="497">
        <v>6.4108554900000003</v>
      </c>
      <c r="J23" s="497">
        <v>9.6650141899999991</v>
      </c>
      <c r="K23" s="497">
        <v>4.1297500299999994</v>
      </c>
      <c r="L23" s="497">
        <v>5.8160563199999995</v>
      </c>
      <c r="M23" s="497">
        <v>4.3496212600000002</v>
      </c>
      <c r="N23" s="497">
        <v>2.2102358200000003</v>
      </c>
      <c r="O23" s="498">
        <f t="shared" si="5"/>
        <v>67.466687890000003</v>
      </c>
      <c r="P23" s="2"/>
      <c r="Q23" s="9"/>
    </row>
    <row r="24" spans="1:18" ht="21" customHeight="1">
      <c r="A24" s="2"/>
      <c r="B24" s="376" t="s">
        <v>327</v>
      </c>
      <c r="C24" s="497">
        <v>0</v>
      </c>
      <c r="D24" s="497">
        <v>-6.6357999999999999E-3</v>
      </c>
      <c r="E24" s="497">
        <v>0</v>
      </c>
      <c r="F24" s="497">
        <v>0</v>
      </c>
      <c r="G24" s="497">
        <v>0</v>
      </c>
      <c r="H24" s="497">
        <v>-0.15443448000000001</v>
      </c>
      <c r="I24" s="497">
        <v>0</v>
      </c>
      <c r="J24" s="497">
        <v>-6.6357999999999999E-3</v>
      </c>
      <c r="K24" s="497">
        <v>0</v>
      </c>
      <c r="L24" s="497">
        <v>0</v>
      </c>
      <c r="M24" s="497">
        <v>0</v>
      </c>
      <c r="N24" s="497">
        <v>0</v>
      </c>
      <c r="O24" s="498">
        <f t="shared" si="5"/>
        <v>-0.16770608000000001</v>
      </c>
      <c r="P24" s="2"/>
      <c r="Q24" s="9"/>
    </row>
    <row r="25" spans="1:18" ht="24.95" customHeight="1">
      <c r="A25" s="2"/>
      <c r="B25" s="390" t="s">
        <v>269</v>
      </c>
      <c r="C25" s="494">
        <f t="shared" ref="C25:N25" si="8">C8-C15</f>
        <v>84.477360892499917</v>
      </c>
      <c r="D25" s="494">
        <f t="shared" si="8"/>
        <v>18.815723967499991</v>
      </c>
      <c r="E25" s="494">
        <f t="shared" si="8"/>
        <v>-24.39204111250001</v>
      </c>
      <c r="F25" s="494">
        <f t="shared" si="8"/>
        <v>476.39675989650004</v>
      </c>
      <c r="G25" s="494">
        <f t="shared" si="8"/>
        <v>-48.021046492499977</v>
      </c>
      <c r="H25" s="494">
        <f t="shared" si="8"/>
        <v>-29.197792212499962</v>
      </c>
      <c r="I25" s="494">
        <f t="shared" si="8"/>
        <v>-21.482022012499954</v>
      </c>
      <c r="J25" s="494">
        <f t="shared" si="8"/>
        <v>29.306528427499984</v>
      </c>
      <c r="K25" s="494">
        <f t="shared" si="8"/>
        <v>-6.4238258500040502E-2</v>
      </c>
      <c r="L25" s="494">
        <f t="shared" si="8"/>
        <v>61.398285224500057</v>
      </c>
      <c r="M25" s="494">
        <f t="shared" si="8"/>
        <v>73.942005026369429</v>
      </c>
      <c r="N25" s="494">
        <f t="shared" si="8"/>
        <v>-121.68114692614654</v>
      </c>
      <c r="O25" s="495">
        <f>SUM(C25:N25)</f>
        <v>499.49837642022294</v>
      </c>
      <c r="P25" s="2"/>
      <c r="Q25" s="9"/>
    </row>
    <row r="26" spans="1:18" ht="24.95" customHeight="1">
      <c r="A26" s="2"/>
      <c r="B26" s="396" t="s">
        <v>735</v>
      </c>
      <c r="C26" s="494"/>
      <c r="D26" s="494"/>
      <c r="E26" s="494"/>
      <c r="F26" s="494"/>
      <c r="G26" s="494"/>
      <c r="H26" s="494"/>
      <c r="I26" s="494"/>
      <c r="J26" s="494"/>
      <c r="K26" s="494"/>
      <c r="L26" s="494"/>
      <c r="M26" s="494"/>
      <c r="N26" s="494"/>
      <c r="O26" s="495"/>
      <c r="P26" s="2"/>
      <c r="Q26" s="9"/>
    </row>
    <row r="27" spans="1:18" ht="21" customHeight="1">
      <c r="A27" s="2"/>
      <c r="B27" s="399" t="s">
        <v>737</v>
      </c>
      <c r="C27" s="494">
        <f>C30+C19</f>
        <v>153.32662006899992</v>
      </c>
      <c r="D27" s="494">
        <f>D30+D19</f>
        <v>25.081421210000059</v>
      </c>
      <c r="E27" s="494">
        <f t="shared" ref="E27:N27" si="9">E30+E19</f>
        <v>9.2143406800000065</v>
      </c>
      <c r="F27" s="494">
        <f t="shared" si="9"/>
        <v>449.87583208900003</v>
      </c>
      <c r="G27" s="494">
        <f t="shared" si="9"/>
        <v>-86.401204579999984</v>
      </c>
      <c r="H27" s="494">
        <f t="shared" si="9"/>
        <v>2.7896131200000269</v>
      </c>
      <c r="I27" s="494">
        <f t="shared" si="9"/>
        <v>33.893113599999978</v>
      </c>
      <c r="J27" s="494">
        <f t="shared" si="9"/>
        <v>14.568990660000068</v>
      </c>
      <c r="K27" s="494">
        <f t="shared" si="9"/>
        <v>19.170861413999987</v>
      </c>
      <c r="L27" s="494">
        <f t="shared" si="9"/>
        <v>53.665273320000033</v>
      </c>
      <c r="M27" s="494">
        <f t="shared" si="9"/>
        <v>58.598400013163406</v>
      </c>
      <c r="N27" s="494">
        <f t="shared" si="9"/>
        <v>-138.15296401389381</v>
      </c>
      <c r="O27" s="495">
        <f t="shared" ref="O27:O28" si="10">SUM(C27:N27)</f>
        <v>595.6302975812697</v>
      </c>
      <c r="P27" s="2"/>
      <c r="Q27" s="9"/>
    </row>
    <row r="28" spans="1:18" ht="21" customHeight="1">
      <c r="A28" s="2"/>
      <c r="B28" s="399" t="s">
        <v>736</v>
      </c>
      <c r="C28" s="494">
        <f>C27-C49</f>
        <v>106.46817918899991</v>
      </c>
      <c r="D28" s="494">
        <f>D27-D49</f>
        <v>-2.7017646199999419</v>
      </c>
      <c r="E28" s="494">
        <f t="shared" ref="E28:N28" si="11">E27-E49</f>
        <v>-18.577260169999992</v>
      </c>
      <c r="F28" s="494">
        <f t="shared" si="11"/>
        <v>423.01758982900003</v>
      </c>
      <c r="G28" s="494">
        <f t="shared" si="11"/>
        <v>-114.13748432999998</v>
      </c>
      <c r="H28" s="494">
        <f t="shared" si="11"/>
        <v>-24.867839589999971</v>
      </c>
      <c r="I28" s="494">
        <f t="shared" si="11"/>
        <v>6.4956933099999787</v>
      </c>
      <c r="J28" s="494">
        <f t="shared" si="11"/>
        <v>-12.930105689999934</v>
      </c>
      <c r="K28" s="494">
        <f t="shared" si="11"/>
        <v>-7.9275472460000138</v>
      </c>
      <c r="L28" s="494">
        <f t="shared" si="11"/>
        <v>26.463516000000034</v>
      </c>
      <c r="M28" s="494">
        <f t="shared" si="11"/>
        <v>31.012181843163408</v>
      </c>
      <c r="N28" s="494">
        <f t="shared" si="11"/>
        <v>-182.68235881389381</v>
      </c>
      <c r="O28" s="495">
        <f t="shared" si="10"/>
        <v>229.63279971126974</v>
      </c>
      <c r="P28" s="2"/>
      <c r="Q28" s="9"/>
    </row>
    <row r="29" spans="1:18" ht="24.95" customHeight="1">
      <c r="A29" s="2"/>
      <c r="B29" s="397" t="s">
        <v>328</v>
      </c>
      <c r="C29" s="497"/>
      <c r="D29" s="497"/>
      <c r="E29" s="497"/>
      <c r="F29" s="497"/>
      <c r="G29" s="497"/>
      <c r="H29" s="497"/>
      <c r="I29" s="497"/>
      <c r="J29" s="497"/>
      <c r="K29" s="497"/>
      <c r="L29" s="497"/>
      <c r="M29" s="497"/>
      <c r="N29" s="497"/>
      <c r="O29" s="495"/>
      <c r="P29" s="2"/>
      <c r="Q29" s="9"/>
    </row>
    <row r="30" spans="1:18" ht="21" customHeight="1">
      <c r="A30" s="2"/>
      <c r="B30" s="399" t="s">
        <v>329</v>
      </c>
      <c r="C30" s="494">
        <f t="shared" ref="C30:N30" si="12">C7-C14</f>
        <v>22.53098826899992</v>
      </c>
      <c r="D30" s="494">
        <f t="shared" si="12"/>
        <v>-32.937258379999946</v>
      </c>
      <c r="E30" s="494">
        <f t="shared" si="12"/>
        <v>-90.959293779999996</v>
      </c>
      <c r="F30" s="494">
        <f t="shared" si="12"/>
        <v>406.865234429</v>
      </c>
      <c r="G30" s="494">
        <f t="shared" si="12"/>
        <v>-135.38554835999997</v>
      </c>
      <c r="H30" s="494">
        <f t="shared" si="12"/>
        <v>-98.558325309999987</v>
      </c>
      <c r="I30" s="494">
        <f t="shared" si="12"/>
        <v>-93.167351580000002</v>
      </c>
      <c r="J30" s="494">
        <f t="shared" si="12"/>
        <v>-47.558404719999942</v>
      </c>
      <c r="K30" s="494">
        <f t="shared" si="12"/>
        <v>-59.588199296000028</v>
      </c>
      <c r="L30" s="494">
        <f t="shared" si="12"/>
        <v>1.4908172870000271</v>
      </c>
      <c r="M30" s="494">
        <f t="shared" si="12"/>
        <v>10.814589941369434</v>
      </c>
      <c r="N30" s="494">
        <f t="shared" si="12"/>
        <v>-211.99431739754039</v>
      </c>
      <c r="O30" s="495">
        <f t="shared" ref="O30:O44" si="13">SUM(C30:N30)</f>
        <v>-328.44706889717088</v>
      </c>
      <c r="P30" s="2"/>
      <c r="Q30" s="9"/>
    </row>
    <row r="31" spans="1:18" ht="21" customHeight="1">
      <c r="A31" s="2"/>
      <c r="B31" s="399" t="s">
        <v>330</v>
      </c>
      <c r="C31" s="494">
        <f t="shared" ref="C31:N31" si="14">C30-C13</f>
        <v>19.386995918999919</v>
      </c>
      <c r="D31" s="494">
        <f t="shared" si="14"/>
        <v>-39.193242389999945</v>
      </c>
      <c r="E31" s="494">
        <f t="shared" si="14"/>
        <v>-95.188166569999993</v>
      </c>
      <c r="F31" s="494">
        <f t="shared" si="14"/>
        <v>402.47663217899998</v>
      </c>
      <c r="G31" s="494">
        <f t="shared" si="14"/>
        <v>-140.81732265999997</v>
      </c>
      <c r="H31" s="494">
        <f t="shared" si="14"/>
        <v>-101.37944458999999</v>
      </c>
      <c r="I31" s="494">
        <f t="shared" si="14"/>
        <v>-97.412852279999996</v>
      </c>
      <c r="J31" s="494">
        <f t="shared" si="14"/>
        <v>-49.156622419999941</v>
      </c>
      <c r="K31" s="494">
        <f t="shared" si="14"/>
        <v>-67.30441778600003</v>
      </c>
      <c r="L31" s="494">
        <f t="shared" si="14"/>
        <v>-0.42168239299997268</v>
      </c>
      <c r="M31" s="494">
        <f t="shared" si="14"/>
        <v>2.8454613913694349</v>
      </c>
      <c r="N31" s="494">
        <f t="shared" si="14"/>
        <v>-222.71380509754039</v>
      </c>
      <c r="O31" s="495">
        <f t="shared" si="13"/>
        <v>-388.87846669717089</v>
      </c>
      <c r="P31" s="2"/>
      <c r="Q31" s="9"/>
    </row>
    <row r="32" spans="1:18" ht="21" customHeight="1">
      <c r="A32" s="2"/>
      <c r="B32" s="399" t="s">
        <v>355</v>
      </c>
      <c r="C32" s="494">
        <f t="shared" ref="C32:N32" si="15">C30-C49</f>
        <v>-24.327452611000083</v>
      </c>
      <c r="D32" s="494">
        <f t="shared" si="15"/>
        <v>-60.720444209999947</v>
      </c>
      <c r="E32" s="494">
        <f t="shared" si="15"/>
        <v>-118.75089462999999</v>
      </c>
      <c r="F32" s="494">
        <f t="shared" si="15"/>
        <v>380.006992169</v>
      </c>
      <c r="G32" s="494">
        <f t="shared" si="15"/>
        <v>-163.12182810999997</v>
      </c>
      <c r="H32" s="494">
        <f t="shared" si="15"/>
        <v>-126.21577801999999</v>
      </c>
      <c r="I32" s="494">
        <f t="shared" si="15"/>
        <v>-120.56477187</v>
      </c>
      <c r="J32" s="494">
        <f t="shared" si="15"/>
        <v>-75.057501069999944</v>
      </c>
      <c r="K32" s="494">
        <f t="shared" si="15"/>
        <v>-86.686607956000032</v>
      </c>
      <c r="L32" s="494">
        <f t="shared" si="15"/>
        <v>-25.710940032999972</v>
      </c>
      <c r="M32" s="494">
        <f t="shared" si="15"/>
        <v>-16.771628228630565</v>
      </c>
      <c r="N32" s="494">
        <f t="shared" si="15"/>
        <v>-256.52371219754036</v>
      </c>
      <c r="O32" s="495">
        <f t="shared" si="13"/>
        <v>-694.44456676717084</v>
      </c>
      <c r="P32" s="2"/>
      <c r="Q32" s="9"/>
      <c r="R32" s="23">
        <f>+O32+O19</f>
        <v>229.63279971126963</v>
      </c>
    </row>
    <row r="33" spans="1:17" ht="24.95" customHeight="1">
      <c r="A33" s="2"/>
      <c r="B33" s="390" t="s">
        <v>332</v>
      </c>
      <c r="C33" s="494">
        <f>SUM(C34:C35)</f>
        <v>104.51229047</v>
      </c>
      <c r="D33" s="494">
        <f t="shared" ref="D33:N33" si="16">SUM(D34:D35)</f>
        <v>-38.395380189999997</v>
      </c>
      <c r="E33" s="494">
        <f t="shared" si="16"/>
        <v>-10.620152849999997</v>
      </c>
      <c r="F33" s="494">
        <f t="shared" si="16"/>
        <v>-18.950201059999998</v>
      </c>
      <c r="G33" s="494">
        <f t="shared" si="16"/>
        <v>0.48219708000000239</v>
      </c>
      <c r="H33" s="494">
        <f t="shared" si="16"/>
        <v>-25.058661309999998</v>
      </c>
      <c r="I33" s="494">
        <f t="shared" si="16"/>
        <v>357.13472616000001</v>
      </c>
      <c r="J33" s="494">
        <f t="shared" si="16"/>
        <v>-29.268516640000001</v>
      </c>
      <c r="K33" s="494">
        <f t="shared" si="16"/>
        <v>-93.633965070000002</v>
      </c>
      <c r="L33" s="494">
        <f t="shared" si="16"/>
        <v>-97.055560539999988</v>
      </c>
      <c r="M33" s="494">
        <f t="shared" si="16"/>
        <v>-23.79575745</v>
      </c>
      <c r="N33" s="494">
        <f t="shared" si="16"/>
        <v>9.5844317699999841</v>
      </c>
      <c r="O33" s="495">
        <f t="shared" si="13"/>
        <v>134.93545037000001</v>
      </c>
      <c r="P33" s="2"/>
      <c r="Q33" s="9"/>
    </row>
    <row r="34" spans="1:17" ht="15.75">
      <c r="A34" s="2"/>
      <c r="B34" s="376" t="s">
        <v>276</v>
      </c>
      <c r="C34" s="497">
        <v>120.90207092999999</v>
      </c>
      <c r="D34" s="497">
        <v>5.7365240100000001</v>
      </c>
      <c r="E34" s="497">
        <v>7.9264164900000003</v>
      </c>
      <c r="F34" s="497">
        <v>7.78186921</v>
      </c>
      <c r="G34" s="497">
        <v>28.58712792</v>
      </c>
      <c r="H34" s="497">
        <v>5.3896358800000002</v>
      </c>
      <c r="I34" s="497">
        <v>373.85694921999999</v>
      </c>
      <c r="J34" s="497">
        <v>15.6036792</v>
      </c>
      <c r="K34" s="497">
        <v>8.0503154299999995</v>
      </c>
      <c r="L34" s="497">
        <v>27.168543559999996</v>
      </c>
      <c r="M34" s="497">
        <v>4.476447170000001</v>
      </c>
      <c r="N34" s="497">
        <v>40.193839989999987</v>
      </c>
      <c r="O34" s="498">
        <f t="shared" si="13"/>
        <v>645.67341900999998</v>
      </c>
      <c r="P34" s="2"/>
      <c r="Q34" s="9"/>
    </row>
    <row r="35" spans="1:17" ht="15.75">
      <c r="A35" s="2"/>
      <c r="B35" s="376" t="s">
        <v>277</v>
      </c>
      <c r="C35" s="497">
        <v>-16.389780460000001</v>
      </c>
      <c r="D35" s="497">
        <v>-44.131904200000001</v>
      </c>
      <c r="E35" s="497">
        <v>-18.546569339999998</v>
      </c>
      <c r="F35" s="497">
        <v>-26.732070269999998</v>
      </c>
      <c r="G35" s="497">
        <v>-28.104930839999998</v>
      </c>
      <c r="H35" s="497">
        <v>-30.448297189999998</v>
      </c>
      <c r="I35" s="497">
        <v>-16.722223060000001</v>
      </c>
      <c r="J35" s="497">
        <v>-44.872195840000003</v>
      </c>
      <c r="K35" s="497">
        <v>-101.6842805</v>
      </c>
      <c r="L35" s="497">
        <v>-124.22410409999999</v>
      </c>
      <c r="M35" s="497">
        <v>-28.27220462</v>
      </c>
      <c r="N35" s="497">
        <v>-30.609408220000002</v>
      </c>
      <c r="O35" s="498">
        <f t="shared" si="13"/>
        <v>-510.73796863999996</v>
      </c>
      <c r="P35" s="2"/>
      <c r="Q35" s="9"/>
    </row>
    <row r="36" spans="1:17" ht="24.95" customHeight="1">
      <c r="A36" s="2"/>
      <c r="B36" s="390" t="s">
        <v>333</v>
      </c>
      <c r="C36" s="494">
        <f>SUM(C37:C43)</f>
        <v>-127.0432787389999</v>
      </c>
      <c r="D36" s="494">
        <f t="shared" ref="D36:N36" si="17">SUM(D37:D43)</f>
        <v>71.332638569999943</v>
      </c>
      <c r="E36" s="494">
        <f t="shared" si="17"/>
        <v>101.57944662999998</v>
      </c>
      <c r="F36" s="494">
        <f t="shared" si="17"/>
        <v>-387.91503336900001</v>
      </c>
      <c r="G36" s="494">
        <f t="shared" si="17"/>
        <v>134.90335127999998</v>
      </c>
      <c r="H36" s="494">
        <f t="shared" si="17"/>
        <v>123.61698662000001</v>
      </c>
      <c r="I36" s="494">
        <f t="shared" si="17"/>
        <v>-263.96737458000001</v>
      </c>
      <c r="J36" s="494">
        <f t="shared" si="17"/>
        <v>76.826921359999943</v>
      </c>
      <c r="K36" s="494">
        <f t="shared" si="17"/>
        <v>153.22216436600007</v>
      </c>
      <c r="L36" s="494">
        <f t="shared" si="17"/>
        <v>95.564743252999961</v>
      </c>
      <c r="M36" s="494">
        <f t="shared" si="17"/>
        <v>12.981167508630566</v>
      </c>
      <c r="N36" s="494">
        <f t="shared" si="17"/>
        <v>202.40988562754038</v>
      </c>
      <c r="O36" s="495">
        <f t="shared" si="13"/>
        <v>193.5116185271709</v>
      </c>
      <c r="P36" s="2"/>
      <c r="Q36" s="9"/>
    </row>
    <row r="37" spans="1:17" ht="15.75">
      <c r="A37" s="2"/>
      <c r="B37" s="376" t="s">
        <v>279</v>
      </c>
      <c r="C37" s="497">
        <v>-118.67589364</v>
      </c>
      <c r="D37" s="497">
        <v>36.325735529999996</v>
      </c>
      <c r="E37" s="497">
        <v>25.672692600000001</v>
      </c>
      <c r="F37" s="497">
        <v>-22.342015889999999</v>
      </c>
      <c r="G37" s="497">
        <v>-132.89192964999998</v>
      </c>
      <c r="H37" s="497">
        <v>57.650999999999996</v>
      </c>
      <c r="I37" s="497">
        <v>-197.72400000000002</v>
      </c>
      <c r="J37" s="497">
        <v>-14.36</v>
      </c>
      <c r="K37" s="497">
        <v>45.894999999999996</v>
      </c>
      <c r="L37" s="497">
        <v>130.15600000000001</v>
      </c>
      <c r="M37" s="497">
        <v>41.106999999999999</v>
      </c>
      <c r="N37" s="497">
        <v>120.172</v>
      </c>
      <c r="O37" s="498">
        <f t="shared" si="13"/>
        <v>-29.014411049999978</v>
      </c>
      <c r="P37" s="2"/>
      <c r="Q37" s="9"/>
    </row>
    <row r="38" spans="1:17" ht="15.75">
      <c r="A38" s="2"/>
      <c r="B38" s="376" t="s">
        <v>282</v>
      </c>
      <c r="C38" s="497">
        <v>-12.596755600000002</v>
      </c>
      <c r="D38" s="497">
        <v>30.136946380000008</v>
      </c>
      <c r="E38" s="497">
        <v>48.527990969999998</v>
      </c>
      <c r="F38" s="497">
        <v>-320.37117939000001</v>
      </c>
      <c r="G38" s="497">
        <v>194.83394104999999</v>
      </c>
      <c r="H38" s="497">
        <v>83.021657210000001</v>
      </c>
      <c r="I38" s="497">
        <v>-19.06664361</v>
      </c>
      <c r="J38" s="497">
        <v>-43.152772779999999</v>
      </c>
      <c r="K38" s="497">
        <v>124.02370877</v>
      </c>
      <c r="L38" s="497">
        <v>-22.637335549999992</v>
      </c>
      <c r="M38" s="497">
        <v>-23.946288050000003</v>
      </c>
      <c r="N38" s="497">
        <v>92.767234820000098</v>
      </c>
      <c r="O38" s="498">
        <f t="shared" si="13"/>
        <v>131.54050422000009</v>
      </c>
      <c r="P38" s="2"/>
      <c r="Q38" s="9"/>
    </row>
    <row r="39" spans="1:17" ht="15.75">
      <c r="A39" s="2"/>
      <c r="B39" s="376" t="s">
        <v>283</v>
      </c>
      <c r="C39" s="497">
        <v>0</v>
      </c>
      <c r="D39" s="497">
        <v>0</v>
      </c>
      <c r="E39" s="497">
        <v>0</v>
      </c>
      <c r="F39" s="497">
        <v>0</v>
      </c>
      <c r="G39" s="497">
        <v>0</v>
      </c>
      <c r="H39" s="497">
        <v>0</v>
      </c>
      <c r="I39" s="497">
        <v>0</v>
      </c>
      <c r="J39" s="497">
        <v>0</v>
      </c>
      <c r="K39" s="497">
        <v>0</v>
      </c>
      <c r="L39" s="497">
        <v>0</v>
      </c>
      <c r="M39" s="497">
        <v>0</v>
      </c>
      <c r="N39" s="497">
        <v>0</v>
      </c>
      <c r="O39" s="498">
        <f t="shared" si="13"/>
        <v>0</v>
      </c>
      <c r="P39" s="2"/>
      <c r="Q39" s="9"/>
    </row>
    <row r="40" spans="1:17" ht="15.75">
      <c r="A40" s="2"/>
      <c r="B40" s="376" t="s">
        <v>284</v>
      </c>
      <c r="C40" s="497">
        <v>43.292316439999993</v>
      </c>
      <c r="D40" s="497">
        <v>64.991683050000006</v>
      </c>
      <c r="E40" s="497">
        <v>34.22291585</v>
      </c>
      <c r="F40" s="497">
        <v>-5.4366048500000002</v>
      </c>
      <c r="G40" s="497">
        <v>23.844264740000003</v>
      </c>
      <c r="H40" s="497">
        <v>43.131070889999997</v>
      </c>
      <c r="I40" s="497">
        <v>13.587033169999989</v>
      </c>
      <c r="J40" s="497">
        <v>132.37909814852</v>
      </c>
      <c r="K40" s="497">
        <v>26.491234809999995</v>
      </c>
      <c r="L40" s="497">
        <v>12.345679590000001</v>
      </c>
      <c r="M40" s="497">
        <v>2.675441490000003</v>
      </c>
      <c r="N40" s="497">
        <v>81.24654237999998</v>
      </c>
      <c r="O40" s="498">
        <f t="shared" si="13"/>
        <v>472.77067570851995</v>
      </c>
      <c r="P40" s="2"/>
      <c r="Q40" s="9"/>
    </row>
    <row r="41" spans="1:17" ht="15.75">
      <c r="A41" s="2"/>
      <c r="B41" s="376" t="s">
        <v>334</v>
      </c>
      <c r="C41" s="497">
        <v>0</v>
      </c>
      <c r="D41" s="497">
        <v>0</v>
      </c>
      <c r="E41" s="497">
        <v>0</v>
      </c>
      <c r="F41" s="497">
        <v>0</v>
      </c>
      <c r="G41" s="497">
        <v>0</v>
      </c>
      <c r="H41" s="497">
        <v>0</v>
      </c>
      <c r="I41" s="497">
        <v>0</v>
      </c>
      <c r="J41" s="497">
        <v>0</v>
      </c>
      <c r="K41" s="497">
        <v>0</v>
      </c>
      <c r="L41" s="497">
        <v>0</v>
      </c>
      <c r="M41" s="497">
        <v>0</v>
      </c>
      <c r="N41" s="497">
        <v>0</v>
      </c>
      <c r="O41" s="498">
        <f t="shared" si="13"/>
        <v>0</v>
      </c>
      <c r="P41" s="2"/>
      <c r="Q41" s="9"/>
    </row>
    <row r="42" spans="1:17" ht="15.75">
      <c r="A42" s="2"/>
      <c r="B42" s="376" t="s">
        <v>335</v>
      </c>
      <c r="C42" s="497">
        <v>-46.858440880000003</v>
      </c>
      <c r="D42" s="497">
        <v>-27.783185830000001</v>
      </c>
      <c r="E42" s="497">
        <v>-27.791600849999998</v>
      </c>
      <c r="F42" s="497">
        <v>-26.858242260000001</v>
      </c>
      <c r="G42" s="497">
        <v>-27.736279750000001</v>
      </c>
      <c r="H42" s="497">
        <v>-27.657452709999998</v>
      </c>
      <c r="I42" s="497">
        <v>-27.397420289999999</v>
      </c>
      <c r="J42" s="497">
        <v>-27.499096350000002</v>
      </c>
      <c r="K42" s="497">
        <v>-27.09840866</v>
      </c>
      <c r="L42" s="497">
        <v>-27.201757319999999</v>
      </c>
      <c r="M42" s="497">
        <v>-27.586218169999999</v>
      </c>
      <c r="N42" s="497">
        <v>-44.529394799999999</v>
      </c>
      <c r="O42" s="498">
        <f t="shared" si="13"/>
        <v>-365.99749787000002</v>
      </c>
      <c r="P42" s="2"/>
      <c r="Q42" s="9"/>
    </row>
    <row r="43" spans="1:17" ht="15.75">
      <c r="A43" s="2"/>
      <c r="B43" s="376" t="s">
        <v>336</v>
      </c>
      <c r="C43" s="497">
        <v>7.7954949410000935</v>
      </c>
      <c r="D43" s="497">
        <v>-32.338540560000069</v>
      </c>
      <c r="E43" s="497">
        <v>20.947448059999985</v>
      </c>
      <c r="F43" s="497">
        <v>-12.906990979</v>
      </c>
      <c r="G43" s="497">
        <v>76.853354889999963</v>
      </c>
      <c r="H43" s="497">
        <v>-32.529288769999994</v>
      </c>
      <c r="I43" s="497">
        <v>-33.366343849999978</v>
      </c>
      <c r="J43" s="497">
        <v>29.459692341479951</v>
      </c>
      <c r="K43" s="497">
        <v>-16.089370553999956</v>
      </c>
      <c r="L43" s="497">
        <v>2.9021565329999461</v>
      </c>
      <c r="M43" s="497">
        <v>20.731232238630565</v>
      </c>
      <c r="N43" s="497">
        <v>-47.246496772459693</v>
      </c>
      <c r="O43" s="498">
        <f t="shared" si="13"/>
        <v>-15.787652481349188</v>
      </c>
      <c r="P43" s="2"/>
      <c r="Q43" s="9"/>
    </row>
    <row r="44" spans="1:17" ht="24.95" customHeight="1" thickBot="1">
      <c r="A44" s="2"/>
      <c r="B44" s="377" t="s">
        <v>337</v>
      </c>
      <c r="C44" s="499">
        <f t="shared" ref="C44:N44" si="18">-C30-C33-C36</f>
        <v>0</v>
      </c>
      <c r="D44" s="499">
        <f t="shared" si="18"/>
        <v>0</v>
      </c>
      <c r="E44" s="499">
        <f t="shared" si="18"/>
        <v>0</v>
      </c>
      <c r="F44" s="499">
        <f t="shared" si="18"/>
        <v>0</v>
      </c>
      <c r="G44" s="499">
        <f t="shared" si="18"/>
        <v>0</v>
      </c>
      <c r="H44" s="499">
        <f t="shared" si="18"/>
        <v>0</v>
      </c>
      <c r="I44" s="499">
        <f t="shared" si="18"/>
        <v>0</v>
      </c>
      <c r="J44" s="499">
        <f t="shared" si="18"/>
        <v>0</v>
      </c>
      <c r="K44" s="499">
        <f t="shared" si="18"/>
        <v>0</v>
      </c>
      <c r="L44" s="499">
        <f t="shared" si="18"/>
        <v>0</v>
      </c>
      <c r="M44" s="499">
        <f t="shared" si="18"/>
        <v>0</v>
      </c>
      <c r="N44" s="499">
        <f t="shared" si="18"/>
        <v>0</v>
      </c>
      <c r="O44" s="500">
        <f t="shared" si="13"/>
        <v>0</v>
      </c>
      <c r="P44" s="2"/>
      <c r="Q44" s="9"/>
    </row>
    <row r="45" spans="1:17" ht="15.75">
      <c r="A45" s="2"/>
      <c r="B45" s="48" t="s">
        <v>338</v>
      </c>
      <c r="C45" s="354"/>
      <c r="D45" s="354"/>
      <c r="E45" s="354"/>
      <c r="F45" s="354"/>
      <c r="G45" s="354"/>
      <c r="H45" s="354"/>
      <c r="I45" s="354"/>
      <c r="J45" s="354"/>
      <c r="K45" s="354"/>
      <c r="L45" s="354"/>
      <c r="M45" s="354"/>
      <c r="N45" s="354"/>
      <c r="O45" s="2"/>
      <c r="P45" s="2"/>
      <c r="Q45" s="9"/>
    </row>
    <row r="46" spans="1:17" ht="15.75">
      <c r="A46" s="2"/>
      <c r="B46" s="48" t="s">
        <v>621</v>
      </c>
      <c r="C46" s="354"/>
      <c r="D46" s="354"/>
      <c r="E46" s="354"/>
      <c r="F46" s="354"/>
      <c r="G46" s="354"/>
      <c r="H46" s="354"/>
      <c r="I46" s="354"/>
      <c r="J46" s="354"/>
      <c r="K46" s="354"/>
      <c r="L46" s="354"/>
      <c r="M46" s="354"/>
      <c r="N46" s="354"/>
      <c r="O46" s="2"/>
      <c r="P46" s="2"/>
      <c r="Q46" s="9"/>
    </row>
    <row r="47" spans="1:17">
      <c r="A47" s="2"/>
      <c r="B47" s="329"/>
      <c r="C47" s="2"/>
      <c r="D47" s="2"/>
      <c r="E47" s="2"/>
      <c r="F47" s="2"/>
      <c r="G47" s="2"/>
      <c r="H47" s="2"/>
      <c r="I47" s="2"/>
      <c r="J47" s="2"/>
      <c r="K47" s="2"/>
      <c r="L47" s="2"/>
      <c r="M47" s="2"/>
      <c r="N47" s="2"/>
      <c r="O47" s="2"/>
      <c r="P47" s="2"/>
      <c r="Q47" s="9"/>
    </row>
    <row r="48" spans="1:17" ht="16.5" thickBot="1">
      <c r="A48" s="2"/>
      <c r="B48" s="353" t="s">
        <v>340</v>
      </c>
      <c r="C48" s="2"/>
      <c r="D48" s="2"/>
      <c r="E48" s="2"/>
      <c r="F48" s="2"/>
      <c r="G48" s="2"/>
      <c r="H48" s="2"/>
      <c r="I48" s="2"/>
      <c r="J48" s="2"/>
      <c r="K48" s="2"/>
      <c r="L48" s="2"/>
      <c r="M48" s="2"/>
      <c r="N48" s="2"/>
      <c r="O48" s="2"/>
      <c r="P48" s="2"/>
      <c r="Q48" s="9"/>
    </row>
    <row r="49" spans="1:17" ht="24.95" customHeight="1" thickBot="1">
      <c r="A49" s="2"/>
      <c r="B49" s="407" t="s">
        <v>357</v>
      </c>
      <c r="C49" s="501">
        <v>46.858440880000003</v>
      </c>
      <c r="D49" s="502">
        <v>27.783185830000001</v>
      </c>
      <c r="E49" s="502">
        <v>27.791600849999998</v>
      </c>
      <c r="F49" s="502">
        <v>26.858242260000001</v>
      </c>
      <c r="G49" s="502">
        <v>27.736279750000001</v>
      </c>
      <c r="H49" s="502">
        <v>27.657452709999998</v>
      </c>
      <c r="I49" s="502">
        <v>27.397420289999999</v>
      </c>
      <c r="J49" s="502">
        <v>27.499096350000002</v>
      </c>
      <c r="K49" s="502">
        <v>27.09840866</v>
      </c>
      <c r="L49" s="502">
        <v>27.201757319999999</v>
      </c>
      <c r="M49" s="502">
        <v>27.586218169999999</v>
      </c>
      <c r="N49" s="503">
        <v>44.529394799999999</v>
      </c>
      <c r="O49" s="504">
        <f>SUM(C49:N49)</f>
        <v>365.99749787000002</v>
      </c>
      <c r="P49" s="2"/>
      <c r="Q49" s="9"/>
    </row>
    <row r="50" spans="1:17" ht="15.75">
      <c r="B50" s="353" t="s">
        <v>18</v>
      </c>
      <c r="C50" s="2"/>
      <c r="D50" s="2"/>
      <c r="E50" s="2"/>
      <c r="F50" s="2"/>
      <c r="G50" s="2"/>
      <c r="H50" s="2"/>
      <c r="I50" s="2"/>
      <c r="J50" s="2"/>
      <c r="K50" s="2"/>
      <c r="L50" s="2"/>
      <c r="M50" s="2"/>
      <c r="N50" s="2"/>
      <c r="O50" s="2"/>
      <c r="Q50" s="9"/>
    </row>
    <row r="51" spans="1:17" ht="15.75">
      <c r="B51" s="353" t="s">
        <v>725</v>
      </c>
      <c r="C51" s="2"/>
      <c r="D51" s="2"/>
      <c r="E51" s="2"/>
      <c r="F51" s="2"/>
      <c r="G51" s="2"/>
      <c r="H51" s="2"/>
      <c r="I51" s="2"/>
      <c r="J51" s="2"/>
      <c r="K51" s="2"/>
      <c r="L51" s="2"/>
      <c r="M51" s="2"/>
      <c r="N51" s="2"/>
      <c r="O51" s="2"/>
      <c r="Q51" s="9"/>
    </row>
    <row r="52" spans="1:17" ht="15.75">
      <c r="B52" s="353" t="s">
        <v>55</v>
      </c>
      <c r="C52" s="2"/>
      <c r="D52" s="2"/>
      <c r="E52" s="2"/>
      <c r="F52" s="2"/>
      <c r="G52" s="2"/>
      <c r="H52" s="2"/>
      <c r="I52" s="2"/>
      <c r="J52" s="2"/>
      <c r="K52" s="2"/>
      <c r="L52" s="2"/>
      <c r="M52" s="2"/>
      <c r="N52" s="2"/>
      <c r="O52" s="2"/>
      <c r="Q52" s="9"/>
    </row>
    <row r="53" spans="1:17" ht="15.75" thickBot="1">
      <c r="B53" s="2"/>
      <c r="C53" s="2"/>
      <c r="D53" s="2"/>
      <c r="E53" s="2"/>
      <c r="F53" s="2"/>
      <c r="G53" s="2"/>
      <c r="H53" s="2"/>
      <c r="I53" s="2"/>
      <c r="J53" s="2"/>
      <c r="K53" s="2"/>
      <c r="L53" s="2"/>
      <c r="M53" s="2"/>
      <c r="N53" s="2"/>
      <c r="O53" s="2"/>
      <c r="Q53" s="9"/>
    </row>
    <row r="54" spans="1:17"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696</v>
      </c>
      <c r="Q54" s="9"/>
    </row>
    <row r="55" spans="1:17" ht="15.75">
      <c r="B55" s="358"/>
      <c r="C55" s="359"/>
      <c r="D55" s="359"/>
      <c r="E55" s="359"/>
      <c r="F55" s="359"/>
      <c r="G55" s="359"/>
      <c r="H55" s="359"/>
      <c r="I55" s="359"/>
      <c r="J55" s="359"/>
      <c r="K55" s="359"/>
      <c r="L55" s="359"/>
      <c r="M55" s="359"/>
      <c r="N55" s="359"/>
      <c r="O55" s="360"/>
      <c r="Q55" s="9"/>
    </row>
    <row r="56" spans="1:17" ht="24.95" customHeight="1">
      <c r="B56" s="390" t="s">
        <v>239</v>
      </c>
      <c r="C56" s="391">
        <f t="shared" ref="C56:O56" si="19">C7/$O$93</f>
        <v>1.9729232988217341E-2</v>
      </c>
      <c r="D56" s="391">
        <f t="shared" si="19"/>
        <v>1.6756767768203021E-2</v>
      </c>
      <c r="E56" s="391">
        <f t="shared" si="19"/>
        <v>1.6791427187152444E-2</v>
      </c>
      <c r="F56" s="391">
        <f t="shared" si="19"/>
        <v>3.3715855904760887E-2</v>
      </c>
      <c r="G56" s="391">
        <f t="shared" si="19"/>
        <v>1.6852128373093692E-2</v>
      </c>
      <c r="H56" s="391">
        <f t="shared" si="19"/>
        <v>1.6763056748797057E-2</v>
      </c>
      <c r="I56" s="391">
        <f t="shared" si="19"/>
        <v>1.874010236198111E-2</v>
      </c>
      <c r="J56" s="391">
        <f t="shared" si="19"/>
        <v>1.7122984541546322E-2</v>
      </c>
      <c r="K56" s="391">
        <f t="shared" si="19"/>
        <v>1.6575738521100329E-2</v>
      </c>
      <c r="L56" s="391">
        <f t="shared" si="19"/>
        <v>1.7789884856395266E-2</v>
      </c>
      <c r="M56" s="391">
        <f t="shared" si="19"/>
        <v>1.7905668425884369E-2</v>
      </c>
      <c r="N56" s="391">
        <f t="shared" si="19"/>
        <v>2.1399213082196143E-2</v>
      </c>
      <c r="O56" s="392">
        <f t="shared" si="19"/>
        <v>0.23014206075932803</v>
      </c>
      <c r="Q56" s="9"/>
    </row>
    <row r="57" spans="1:17" ht="21" customHeight="1">
      <c r="B57" s="376" t="s">
        <v>240</v>
      </c>
      <c r="C57" s="393">
        <f t="shared" ref="C57:O57" si="20">C8/$O$93</f>
        <v>1.9608574447728701E-2</v>
      </c>
      <c r="D57" s="393">
        <f t="shared" si="20"/>
        <v>1.6516678793442364E-2</v>
      </c>
      <c r="E57" s="393">
        <f t="shared" si="20"/>
        <v>1.6629133656522983E-2</v>
      </c>
      <c r="F57" s="393">
        <f t="shared" si="20"/>
        <v>3.3547432358097311E-2</v>
      </c>
      <c r="G57" s="393">
        <f t="shared" si="20"/>
        <v>1.6643670499682617E-2</v>
      </c>
      <c r="H57" s="393">
        <f t="shared" si="20"/>
        <v>1.6654789266890128E-2</v>
      </c>
      <c r="I57" s="393">
        <f t="shared" si="20"/>
        <v>1.8577170693872727E-2</v>
      </c>
      <c r="J57" s="393">
        <f t="shared" si="20"/>
        <v>1.7061648954942523E-2</v>
      </c>
      <c r="K57" s="393">
        <f t="shared" si="20"/>
        <v>1.6279609409623693E-2</v>
      </c>
      <c r="L57" s="393">
        <f t="shared" si="20"/>
        <v>1.7716487915695397E-2</v>
      </c>
      <c r="M57" s="393">
        <f t="shared" si="20"/>
        <v>1.7599833260665429E-2</v>
      </c>
      <c r="N57" s="393">
        <f t="shared" si="20"/>
        <v>2.0987826031375903E-2</v>
      </c>
      <c r="O57" s="394">
        <f t="shared" si="20"/>
        <v>0.22782285528853977</v>
      </c>
      <c r="Q57" s="9"/>
    </row>
    <row r="58" spans="1:17" ht="18.75">
      <c r="B58" s="371" t="s">
        <v>351</v>
      </c>
      <c r="C58" s="393">
        <f t="shared" ref="C58:O58" si="21">C9/$O$93</f>
        <v>1.6550810517658634E-2</v>
      </c>
      <c r="D58" s="393">
        <f t="shared" si="21"/>
        <v>1.2957226584932842E-2</v>
      </c>
      <c r="E58" s="393">
        <f t="shared" si="21"/>
        <v>1.3586738720279509E-2</v>
      </c>
      <c r="F58" s="393">
        <f t="shared" si="21"/>
        <v>3.0316341807173065E-2</v>
      </c>
      <c r="G58" s="393">
        <f t="shared" si="21"/>
        <v>1.3421097300373719E-2</v>
      </c>
      <c r="H58" s="393">
        <f t="shared" si="21"/>
        <v>1.3621219529230984E-2</v>
      </c>
      <c r="I58" s="393">
        <f t="shared" si="21"/>
        <v>1.4090022031750467E-2</v>
      </c>
      <c r="J58" s="393">
        <f t="shared" si="21"/>
        <v>1.404154792235773E-2</v>
      </c>
      <c r="K58" s="393">
        <f t="shared" si="21"/>
        <v>1.3068511371634582E-2</v>
      </c>
      <c r="L58" s="393">
        <f t="shared" si="21"/>
        <v>1.4076801113638057E-2</v>
      </c>
      <c r="M58" s="393">
        <f t="shared" si="21"/>
        <v>1.3807904004077226E-2</v>
      </c>
      <c r="N58" s="393">
        <f t="shared" si="21"/>
        <v>1.3495625349714893E-2</v>
      </c>
      <c r="O58" s="394">
        <f t="shared" si="21"/>
        <v>0.18303384625282171</v>
      </c>
      <c r="Q58" s="9"/>
    </row>
    <row r="59" spans="1:17" ht="15.75">
      <c r="B59" s="371" t="s">
        <v>317</v>
      </c>
      <c r="C59" s="393">
        <f t="shared" ref="C59:O59" si="22">C10/$O$93</f>
        <v>2.5843253306029029E-3</v>
      </c>
      <c r="D59" s="393">
        <f t="shared" si="22"/>
        <v>3.1110720053851302E-3</v>
      </c>
      <c r="E59" s="393">
        <f t="shared" si="22"/>
        <v>2.7281008476052835E-3</v>
      </c>
      <c r="F59" s="393">
        <f t="shared" si="22"/>
        <v>2.8326378734417779E-3</v>
      </c>
      <c r="G59" s="393">
        <f t="shared" si="22"/>
        <v>2.6963539287422084E-3</v>
      </c>
      <c r="H59" s="393">
        <f t="shared" si="22"/>
        <v>2.6121676482349808E-3</v>
      </c>
      <c r="I59" s="393">
        <f t="shared" si="22"/>
        <v>3.647132182827301E-3</v>
      </c>
      <c r="J59" s="393">
        <f t="shared" si="22"/>
        <v>2.631834495915484E-3</v>
      </c>
      <c r="K59" s="393">
        <f t="shared" si="22"/>
        <v>2.793723509360654E-3</v>
      </c>
      <c r="L59" s="393">
        <f t="shared" si="22"/>
        <v>2.5553146885244392E-3</v>
      </c>
      <c r="M59" s="393">
        <f t="shared" si="22"/>
        <v>2.8472955116755844E-3</v>
      </c>
      <c r="N59" s="393">
        <f t="shared" si="22"/>
        <v>7.1644864995659505E-3</v>
      </c>
      <c r="O59" s="394">
        <f t="shared" si="22"/>
        <v>3.8204444521881695E-2</v>
      </c>
      <c r="Q59" s="9"/>
    </row>
    <row r="60" spans="1:17" ht="15.75">
      <c r="B60" s="371" t="s">
        <v>318</v>
      </c>
      <c r="C60" s="393">
        <f t="shared" ref="C60:O60" si="23">C11/$O$93</f>
        <v>4.7343859946716711E-4</v>
      </c>
      <c r="D60" s="393">
        <f t="shared" si="23"/>
        <v>4.4838020312438831E-4</v>
      </c>
      <c r="E60" s="393">
        <f t="shared" si="23"/>
        <v>3.1429408863819017E-4</v>
      </c>
      <c r="F60" s="393">
        <f t="shared" si="23"/>
        <v>3.9845267748246736E-4</v>
      </c>
      <c r="G60" s="393">
        <f t="shared" si="23"/>
        <v>5.2621927056668968E-4</v>
      </c>
      <c r="H60" s="393">
        <f t="shared" si="23"/>
        <v>4.2140208942416125E-4</v>
      </c>
      <c r="I60" s="393">
        <f t="shared" si="23"/>
        <v>8.4001647929495969E-4</v>
      </c>
      <c r="J60" s="393">
        <f t="shared" si="23"/>
        <v>3.8826653666930943E-4</v>
      </c>
      <c r="K60" s="393">
        <f t="shared" si="23"/>
        <v>4.1737452862845859E-4</v>
      </c>
      <c r="L60" s="393">
        <f t="shared" si="23"/>
        <v>1.0843721135329006E-3</v>
      </c>
      <c r="M60" s="393">
        <f t="shared" si="23"/>
        <v>9.4463374491261787E-4</v>
      </c>
      <c r="N60" s="393">
        <f t="shared" si="23"/>
        <v>3.2771418209505805E-4</v>
      </c>
      <c r="O60" s="394">
        <f t="shared" si="23"/>
        <v>6.5845645138363669E-3</v>
      </c>
      <c r="Q60" s="9"/>
    </row>
    <row r="61" spans="1:17" ht="21" customHeight="1">
      <c r="B61" s="376" t="s">
        <v>244</v>
      </c>
      <c r="C61" s="393">
        <f t="shared" ref="C61:O61" si="24">C12/$O$93</f>
        <v>0</v>
      </c>
      <c r="D61" s="393">
        <f t="shared" si="24"/>
        <v>0</v>
      </c>
      <c r="E61" s="393">
        <f t="shared" si="24"/>
        <v>0</v>
      </c>
      <c r="F61" s="393">
        <f t="shared" si="24"/>
        <v>0</v>
      </c>
      <c r="G61" s="393">
        <f t="shared" si="24"/>
        <v>0</v>
      </c>
      <c r="H61" s="393">
        <f t="shared" si="24"/>
        <v>0</v>
      </c>
      <c r="I61" s="393">
        <f t="shared" si="24"/>
        <v>0</v>
      </c>
      <c r="J61" s="393">
        <f t="shared" si="24"/>
        <v>0</v>
      </c>
      <c r="K61" s="393">
        <f t="shared" si="24"/>
        <v>0</v>
      </c>
      <c r="L61" s="393">
        <f t="shared" si="24"/>
        <v>0</v>
      </c>
      <c r="M61" s="393">
        <f t="shared" si="24"/>
        <v>0</v>
      </c>
      <c r="N61" s="393">
        <f t="shared" si="24"/>
        <v>0</v>
      </c>
      <c r="O61" s="394">
        <f t="shared" si="24"/>
        <v>0</v>
      </c>
      <c r="Q61" s="9"/>
    </row>
    <row r="62" spans="1:17" ht="21" customHeight="1">
      <c r="B62" s="376" t="s">
        <v>245</v>
      </c>
      <c r="C62" s="393">
        <f t="shared" ref="C62:O62" si="25">C13/$O$93</f>
        <v>1.2065854048863759E-4</v>
      </c>
      <c r="D62" s="393">
        <f t="shared" si="25"/>
        <v>2.4008897476065873E-4</v>
      </c>
      <c r="E62" s="393">
        <f t="shared" si="25"/>
        <v>1.6229353062945993E-4</v>
      </c>
      <c r="F62" s="393">
        <f t="shared" si="25"/>
        <v>1.6842354666357602E-4</v>
      </c>
      <c r="G62" s="393">
        <f t="shared" si="25"/>
        <v>2.0845787341107591E-4</v>
      </c>
      <c r="H62" s="393">
        <f t="shared" si="25"/>
        <v>1.0826748190693151E-4</v>
      </c>
      <c r="I62" s="393">
        <f t="shared" si="25"/>
        <v>1.6293166810838112E-4</v>
      </c>
      <c r="J62" s="393">
        <f t="shared" si="25"/>
        <v>6.1335586603799235E-5</v>
      </c>
      <c r="K62" s="393">
        <f t="shared" si="25"/>
        <v>2.9612911147663544E-4</v>
      </c>
      <c r="L62" s="393">
        <f t="shared" si="25"/>
        <v>7.3396940699867286E-5</v>
      </c>
      <c r="M62" s="393">
        <f t="shared" si="25"/>
        <v>3.0583516521893973E-4</v>
      </c>
      <c r="N62" s="393">
        <f t="shared" si="25"/>
        <v>4.1138705082024209E-4</v>
      </c>
      <c r="O62" s="394">
        <f t="shared" si="25"/>
        <v>2.3192054707882048E-3</v>
      </c>
      <c r="Q62" s="9"/>
    </row>
    <row r="63" spans="1:17" ht="24.95" customHeight="1">
      <c r="B63" s="390" t="s">
        <v>246</v>
      </c>
      <c r="C63" s="391">
        <f t="shared" ref="C63:O63" si="26">C14/$O$93</f>
        <v>1.8864550171700901E-2</v>
      </c>
      <c r="D63" s="391">
        <f t="shared" si="26"/>
        <v>1.8020817130100463E-2</v>
      </c>
      <c r="E63" s="391">
        <f t="shared" si="26"/>
        <v>2.028221673419826E-2</v>
      </c>
      <c r="F63" s="391">
        <f t="shared" si="26"/>
        <v>1.8101388725230209E-2</v>
      </c>
      <c r="G63" s="391">
        <f t="shared" si="26"/>
        <v>2.2047886138971035E-2</v>
      </c>
      <c r="H63" s="391">
        <f t="shared" si="26"/>
        <v>2.0545478065728363E-2</v>
      </c>
      <c r="I63" s="391">
        <f t="shared" si="26"/>
        <v>2.2315631629040097E-2</v>
      </c>
      <c r="J63" s="391">
        <f t="shared" si="26"/>
        <v>1.8948156826549854E-2</v>
      </c>
      <c r="K63" s="391">
        <f t="shared" si="26"/>
        <v>1.8862584148253789E-2</v>
      </c>
      <c r="L63" s="391">
        <f t="shared" si="26"/>
        <v>1.7732671028255813E-2</v>
      </c>
      <c r="M63" s="391">
        <f t="shared" si="26"/>
        <v>1.7490631589580127E-2</v>
      </c>
      <c r="N63" s="391">
        <f t="shared" si="26"/>
        <v>2.9535023250141436E-2</v>
      </c>
      <c r="O63" s="392">
        <f t="shared" si="26"/>
        <v>0.24274703543775034</v>
      </c>
      <c r="Q63" s="9"/>
    </row>
    <row r="64" spans="1:17" ht="21" customHeight="1">
      <c r="B64" s="376" t="s">
        <v>247</v>
      </c>
      <c r="C64" s="393">
        <f t="shared" ref="C64:O64" si="27">C15/$O$93</f>
        <v>1.6366545226626766E-2</v>
      </c>
      <c r="D64" s="393">
        <f t="shared" si="27"/>
        <v>1.5794578502022878E-2</v>
      </c>
      <c r="E64" s="393">
        <f t="shared" si="27"/>
        <v>1.7565239013195719E-2</v>
      </c>
      <c r="F64" s="393">
        <f t="shared" si="27"/>
        <v>1.5264519633253176E-2</v>
      </c>
      <c r="G64" s="393">
        <f t="shared" si="27"/>
        <v>1.8486597815495599E-2</v>
      </c>
      <c r="H64" s="393">
        <f t="shared" si="27"/>
        <v>1.7775327296777749E-2</v>
      </c>
      <c r="I64" s="393">
        <f t="shared" si="27"/>
        <v>1.9401596816529493E-2</v>
      </c>
      <c r="J64" s="393">
        <f t="shared" si="27"/>
        <v>1.593693790186031E-2</v>
      </c>
      <c r="K64" s="393">
        <f t="shared" si="27"/>
        <v>1.6282074712859609E-2</v>
      </c>
      <c r="L64" s="393">
        <f t="shared" si="27"/>
        <v>1.536017573074582E-2</v>
      </c>
      <c r="M64" s="393">
        <f t="shared" si="27"/>
        <v>1.4762124572447646E-2</v>
      </c>
      <c r="N64" s="393">
        <f t="shared" si="27"/>
        <v>2.5657643244223864E-2</v>
      </c>
      <c r="O64" s="394">
        <f t="shared" si="27"/>
        <v>0.20865336046603866</v>
      </c>
      <c r="Q64" s="9"/>
    </row>
    <row r="65" spans="2:17" ht="15.75">
      <c r="B65" s="371" t="s">
        <v>321</v>
      </c>
      <c r="C65" s="393">
        <f t="shared" ref="C65:O65" si="28">C16/$O$93</f>
        <v>9.8910809418719155E-3</v>
      </c>
      <c r="D65" s="393">
        <f t="shared" si="28"/>
        <v>1.113771970356074E-2</v>
      </c>
      <c r="E65" s="393">
        <f t="shared" si="28"/>
        <v>1.1755067338778074E-2</v>
      </c>
      <c r="F65" s="393">
        <f t="shared" si="28"/>
        <v>1.1478731954039883E-2</v>
      </c>
      <c r="G65" s="393">
        <f t="shared" si="28"/>
        <v>1.2841100768259816E-2</v>
      </c>
      <c r="H65" s="393">
        <f t="shared" si="28"/>
        <v>1.1563154955359301E-2</v>
      </c>
      <c r="I65" s="393">
        <f t="shared" si="28"/>
        <v>1.1766467032295428E-2</v>
      </c>
      <c r="J65" s="393">
        <f t="shared" si="28"/>
        <v>1.1178342548376748E-2</v>
      </c>
      <c r="K65" s="393">
        <f t="shared" si="28"/>
        <v>1.0937438851165947E-2</v>
      </c>
      <c r="L65" s="393">
        <f t="shared" si="28"/>
        <v>1.0990298596554315E-2</v>
      </c>
      <c r="M65" s="393">
        <f t="shared" si="28"/>
        <v>1.0692400639714408E-2</v>
      </c>
      <c r="N65" s="393">
        <f t="shared" si="28"/>
        <v>2.0020583975804526E-2</v>
      </c>
      <c r="O65" s="394">
        <f t="shared" si="28"/>
        <v>0.1442523873057811</v>
      </c>
      <c r="Q65" s="9"/>
    </row>
    <row r="66" spans="2:17" ht="15.75">
      <c r="B66" s="395" t="s">
        <v>322</v>
      </c>
      <c r="C66" s="393">
        <f t="shared" ref="C66:O66" si="29">C17/$O$93</f>
        <v>7.5693494458002365E-3</v>
      </c>
      <c r="D66" s="393">
        <f t="shared" si="29"/>
        <v>7.6590682264206763E-3</v>
      </c>
      <c r="E66" s="393">
        <f t="shared" si="29"/>
        <v>8.3556734881666834E-3</v>
      </c>
      <c r="F66" s="393">
        <f t="shared" si="29"/>
        <v>7.8401113615700832E-3</v>
      </c>
      <c r="G66" s="393">
        <f t="shared" si="29"/>
        <v>8.1577915326108887E-3</v>
      </c>
      <c r="H66" s="393">
        <f t="shared" si="29"/>
        <v>8.664728038585881E-3</v>
      </c>
      <c r="I66" s="393">
        <f t="shared" si="29"/>
        <v>8.2680581050480206E-3</v>
      </c>
      <c r="J66" s="393">
        <f t="shared" si="29"/>
        <v>7.4259045601574869E-3</v>
      </c>
      <c r="K66" s="393">
        <f t="shared" si="29"/>
        <v>7.9305884709774069E-3</v>
      </c>
      <c r="L66" s="393">
        <f t="shared" si="29"/>
        <v>7.7360621384840273E-3</v>
      </c>
      <c r="M66" s="393">
        <f t="shared" si="29"/>
        <v>7.7029322663175331E-3</v>
      </c>
      <c r="N66" s="393">
        <f t="shared" si="29"/>
        <v>1.4077054416126758E-2</v>
      </c>
      <c r="O66" s="394">
        <f t="shared" si="29"/>
        <v>0.10138732205026568</v>
      </c>
      <c r="Q66" s="9"/>
    </row>
    <row r="67" spans="2:17" ht="15.75">
      <c r="B67" s="395" t="s">
        <v>323</v>
      </c>
      <c r="C67" s="393">
        <f t="shared" ref="C67:O67" si="30">C18/$O$93</f>
        <v>2.3217314960716799E-3</v>
      </c>
      <c r="D67" s="393">
        <f t="shared" si="30"/>
        <v>3.4786514771400628E-3</v>
      </c>
      <c r="E67" s="393">
        <f t="shared" si="30"/>
        <v>3.3993938506113922E-3</v>
      </c>
      <c r="F67" s="393">
        <f t="shared" si="30"/>
        <v>3.6386205924697984E-3</v>
      </c>
      <c r="G67" s="393">
        <f t="shared" si="30"/>
        <v>4.6833092356489284E-3</v>
      </c>
      <c r="H67" s="393">
        <f t="shared" si="30"/>
        <v>2.8984269167734202E-3</v>
      </c>
      <c r="I67" s="393">
        <f t="shared" si="30"/>
        <v>3.4984089272474049E-3</v>
      </c>
      <c r="J67" s="393">
        <f t="shared" si="30"/>
        <v>3.7524379882192616E-3</v>
      </c>
      <c r="K67" s="393">
        <f t="shared" si="30"/>
        <v>3.0068503801885414E-3</v>
      </c>
      <c r="L67" s="393">
        <f t="shared" si="30"/>
        <v>3.2542364580702872E-3</v>
      </c>
      <c r="M67" s="393">
        <f t="shared" si="30"/>
        <v>2.9894683733968763E-3</v>
      </c>
      <c r="N67" s="393">
        <f t="shared" si="30"/>
        <v>5.943529559677768E-3</v>
      </c>
      <c r="O67" s="394">
        <f t="shared" si="30"/>
        <v>4.2865065255515422E-2</v>
      </c>
      <c r="Q67" s="9"/>
    </row>
    <row r="68" spans="2:17" ht="15.75">
      <c r="B68" s="371" t="s">
        <v>352</v>
      </c>
      <c r="C68" s="393">
        <f t="shared" ref="C68:O68" si="31">C19/$O$93</f>
        <v>5.0196082809416606E-3</v>
      </c>
      <c r="D68" s="393">
        <f t="shared" si="31"/>
        <v>2.2266113975777666E-3</v>
      </c>
      <c r="E68" s="393">
        <f t="shared" si="31"/>
        <v>3.8444128305165537E-3</v>
      </c>
      <c r="F68" s="393">
        <f t="shared" si="31"/>
        <v>1.6506388570568917E-3</v>
      </c>
      <c r="G68" s="393">
        <f t="shared" si="31"/>
        <v>1.8798962495212407E-3</v>
      </c>
      <c r="H68" s="393">
        <f t="shared" si="31"/>
        <v>3.8894796714426185E-3</v>
      </c>
      <c r="I68" s="393">
        <f t="shared" si="31"/>
        <v>4.8762619547805686E-3</v>
      </c>
      <c r="J68" s="393">
        <f t="shared" si="31"/>
        <v>2.3842936039304699E-3</v>
      </c>
      <c r="K68" s="393">
        <f t="shared" si="31"/>
        <v>3.0225752029977432E-3</v>
      </c>
      <c r="L68" s="393">
        <f t="shared" si="31"/>
        <v>2.002324756206984E-3</v>
      </c>
      <c r="M68" s="393">
        <f t="shared" si="31"/>
        <v>1.8338227770334497E-3</v>
      </c>
      <c r="N68" s="393">
        <f t="shared" si="31"/>
        <v>2.8338459306290983E-3</v>
      </c>
      <c r="O68" s="394">
        <f t="shared" si="31"/>
        <v>3.5463771512635044E-2</v>
      </c>
      <c r="Q68" s="9"/>
    </row>
    <row r="69" spans="2:17" ht="15.75">
      <c r="B69" s="371" t="s">
        <v>325</v>
      </c>
      <c r="C69" s="393">
        <f t="shared" ref="C69:O69" si="32">C20/$O$93</f>
        <v>1.4558560038131876E-3</v>
      </c>
      <c r="D69" s="393">
        <f t="shared" si="32"/>
        <v>2.4302474008843712E-3</v>
      </c>
      <c r="E69" s="393">
        <f t="shared" si="32"/>
        <v>1.9657588439010876E-3</v>
      </c>
      <c r="F69" s="393">
        <f t="shared" si="32"/>
        <v>2.135148822156401E-3</v>
      </c>
      <c r="G69" s="393">
        <f t="shared" si="32"/>
        <v>3.7656007977145429E-3</v>
      </c>
      <c r="H69" s="393">
        <f t="shared" si="32"/>
        <v>2.3226926699758295E-3</v>
      </c>
      <c r="I69" s="393">
        <f t="shared" si="32"/>
        <v>2.7588678294534971E-3</v>
      </c>
      <c r="J69" s="393">
        <f t="shared" si="32"/>
        <v>2.3743017495530946E-3</v>
      </c>
      <c r="K69" s="393">
        <f t="shared" si="32"/>
        <v>2.322060658695918E-3</v>
      </c>
      <c r="L69" s="393">
        <f t="shared" si="32"/>
        <v>2.3675523779845219E-3</v>
      </c>
      <c r="M69" s="393">
        <f t="shared" si="32"/>
        <v>2.2359011556997875E-3</v>
      </c>
      <c r="N69" s="393">
        <f t="shared" si="32"/>
        <v>2.8032133377902386E-3</v>
      </c>
      <c r="O69" s="394">
        <f t="shared" si="32"/>
        <v>2.8937201647622479E-2</v>
      </c>
      <c r="Q69" s="9"/>
    </row>
    <row r="70" spans="2:17" ht="21" customHeight="1">
      <c r="B70" s="376" t="s">
        <v>259</v>
      </c>
      <c r="C70" s="393">
        <f t="shared" ref="C70:O70" si="33">C21/$O$93</f>
        <v>2.4980049450741338E-3</v>
      </c>
      <c r="D70" s="393">
        <f t="shared" si="33"/>
        <v>2.2264932934373725E-3</v>
      </c>
      <c r="E70" s="393">
        <f t="shared" si="33"/>
        <v>2.716977721002543E-3</v>
      </c>
      <c r="F70" s="393">
        <f t="shared" si="33"/>
        <v>2.8368690919770324E-3</v>
      </c>
      <c r="G70" s="393">
        <f t="shared" si="33"/>
        <v>3.5612883234754354E-3</v>
      </c>
      <c r="H70" s="393">
        <f t="shared" si="33"/>
        <v>2.7760775769334399E-3</v>
      </c>
      <c r="I70" s="393">
        <f t="shared" si="33"/>
        <v>2.914034812510602E-3</v>
      </c>
      <c r="J70" s="393">
        <f t="shared" si="33"/>
        <v>3.0114735900493299E-3</v>
      </c>
      <c r="K70" s="393">
        <f t="shared" si="33"/>
        <v>2.5805094353941794E-3</v>
      </c>
      <c r="L70" s="393">
        <f t="shared" si="33"/>
        <v>2.372495297509992E-3</v>
      </c>
      <c r="M70" s="393">
        <f t="shared" si="33"/>
        <v>2.7285070171324801E-3</v>
      </c>
      <c r="N70" s="393">
        <f t="shared" si="33"/>
        <v>3.8773800059175704E-3</v>
      </c>
      <c r="O70" s="394">
        <f t="shared" si="33"/>
        <v>3.4100111110414111E-2</v>
      </c>
      <c r="Q70" s="9"/>
    </row>
    <row r="71" spans="2:17" ht="15.75">
      <c r="B71" s="371" t="s">
        <v>260</v>
      </c>
      <c r="C71" s="393">
        <f t="shared" ref="C71:O71" si="34">C22/$O$93</f>
        <v>2.4972661169538712E-3</v>
      </c>
      <c r="D71" s="393">
        <f t="shared" si="34"/>
        <v>2.0180073695337981E-3</v>
      </c>
      <c r="E71" s="393">
        <f t="shared" si="34"/>
        <v>2.4818023120711796E-3</v>
      </c>
      <c r="F71" s="393">
        <f t="shared" si="34"/>
        <v>2.5401770897695588E-3</v>
      </c>
      <c r="G71" s="393">
        <f t="shared" si="34"/>
        <v>3.2598315572549968E-3</v>
      </c>
      <c r="H71" s="393">
        <f t="shared" si="34"/>
        <v>2.4798217663893002E-3</v>
      </c>
      <c r="I71" s="393">
        <f t="shared" si="34"/>
        <v>2.6680022588032211E-3</v>
      </c>
      <c r="J71" s="393">
        <f t="shared" si="34"/>
        <v>2.6405545876645531E-3</v>
      </c>
      <c r="K71" s="393">
        <f t="shared" si="34"/>
        <v>2.4220199876693123E-3</v>
      </c>
      <c r="L71" s="393">
        <f t="shared" si="34"/>
        <v>2.1492896440449263E-3</v>
      </c>
      <c r="M71" s="393">
        <f t="shared" si="34"/>
        <v>2.5615794630912147E-3</v>
      </c>
      <c r="N71" s="393">
        <f t="shared" si="34"/>
        <v>3.7925566989598083E-3</v>
      </c>
      <c r="O71" s="394">
        <f t="shared" si="34"/>
        <v>3.1510908852205748E-2</v>
      </c>
      <c r="Q71" s="9"/>
    </row>
    <row r="72" spans="2:17" ht="15.75">
      <c r="B72" s="371" t="s">
        <v>326</v>
      </c>
      <c r="C72" s="393">
        <f t="shared" ref="C72:O72" si="35">C23/$O$93</f>
        <v>7.3882812026277838E-7</v>
      </c>
      <c r="D72" s="393">
        <f t="shared" si="35"/>
        <v>2.0848592390357429E-4</v>
      </c>
      <c r="E72" s="393">
        <f t="shared" si="35"/>
        <v>2.3517540893136342E-4</v>
      </c>
      <c r="F72" s="393">
        <f t="shared" si="35"/>
        <v>2.9669200220747334E-4</v>
      </c>
      <c r="G72" s="393">
        <f t="shared" si="35"/>
        <v>3.0145676622043874E-4</v>
      </c>
      <c r="H72" s="393">
        <f t="shared" si="35"/>
        <v>2.9625581054413917E-4</v>
      </c>
      <c r="I72" s="393">
        <f t="shared" si="35"/>
        <v>2.4603255370738087E-4</v>
      </c>
      <c r="J72" s="393">
        <f t="shared" si="35"/>
        <v>3.7091900238477732E-4</v>
      </c>
      <c r="K72" s="393">
        <f t="shared" si="35"/>
        <v>1.5848944772486713E-4</v>
      </c>
      <c r="L72" s="393">
        <f t="shared" si="35"/>
        <v>2.2320565346506535E-4</v>
      </c>
      <c r="M72" s="393">
        <f t="shared" si="35"/>
        <v>1.6692755404126502E-4</v>
      </c>
      <c r="N72" s="393">
        <f t="shared" si="35"/>
        <v>8.482330695776251E-5</v>
      </c>
      <c r="O72" s="394">
        <f t="shared" si="35"/>
        <v>2.5892022582083701E-3</v>
      </c>
      <c r="Q72" s="9"/>
    </row>
    <row r="73" spans="2:17" ht="21" customHeight="1">
      <c r="B73" s="376" t="s">
        <v>327</v>
      </c>
      <c r="C73" s="393">
        <f t="shared" ref="C73:O73" si="36">C24/$O$93</f>
        <v>0</v>
      </c>
      <c r="D73" s="393">
        <f t="shared" si="36"/>
        <v>-2.5466535978514744E-7</v>
      </c>
      <c r="E73" s="393">
        <f t="shared" si="36"/>
        <v>0</v>
      </c>
      <c r="F73" s="393">
        <f t="shared" si="36"/>
        <v>0</v>
      </c>
      <c r="G73" s="393">
        <f t="shared" si="36"/>
        <v>0</v>
      </c>
      <c r="H73" s="393">
        <f t="shared" si="36"/>
        <v>-5.9268079828253058E-6</v>
      </c>
      <c r="I73" s="393">
        <f t="shared" si="36"/>
        <v>0</v>
      </c>
      <c r="J73" s="393">
        <f t="shared" si="36"/>
        <v>-2.5466535978514744E-7</v>
      </c>
      <c r="K73" s="393">
        <f t="shared" si="36"/>
        <v>0</v>
      </c>
      <c r="L73" s="393">
        <f t="shared" si="36"/>
        <v>0</v>
      </c>
      <c r="M73" s="393">
        <f t="shared" si="36"/>
        <v>0</v>
      </c>
      <c r="N73" s="393">
        <f t="shared" si="36"/>
        <v>0</v>
      </c>
      <c r="O73" s="394">
        <f t="shared" si="36"/>
        <v>-6.4361387023956001E-6</v>
      </c>
      <c r="Q73" s="9"/>
    </row>
    <row r="74" spans="2:17" ht="24.95" customHeight="1">
      <c r="B74" s="390" t="s">
        <v>269</v>
      </c>
      <c r="C74" s="391">
        <f t="shared" ref="C74:O74" si="37">C25/$O$93</f>
        <v>3.2420292211019375E-3</v>
      </c>
      <c r="D74" s="391">
        <f t="shared" si="37"/>
        <v>7.2210029141948331E-4</v>
      </c>
      <c r="E74" s="391">
        <f t="shared" si="37"/>
        <v>-9.3610535667273335E-4</v>
      </c>
      <c r="F74" s="391">
        <f t="shared" si="37"/>
        <v>1.8282912724844131E-2</v>
      </c>
      <c r="G74" s="391">
        <f t="shared" si="37"/>
        <v>-1.8429273158129841E-3</v>
      </c>
      <c r="H74" s="391">
        <f t="shared" si="37"/>
        <v>-1.1205380298876216E-3</v>
      </c>
      <c r="I74" s="391">
        <f t="shared" si="37"/>
        <v>-8.2442612265676458E-4</v>
      </c>
      <c r="J74" s="391">
        <f t="shared" si="37"/>
        <v>1.124711053082211E-3</v>
      </c>
      <c r="K74" s="391">
        <f t="shared" si="37"/>
        <v>-2.4653032359149043E-6</v>
      </c>
      <c r="L74" s="391">
        <f t="shared" si="37"/>
        <v>2.356312184949578E-3</v>
      </c>
      <c r="M74" s="391">
        <f t="shared" si="37"/>
        <v>2.8377086882177814E-3</v>
      </c>
      <c r="N74" s="391">
        <f t="shared" si="37"/>
        <v>-4.6698172128479612E-3</v>
      </c>
      <c r="O74" s="392">
        <f t="shared" si="37"/>
        <v>1.9169494822501146E-2</v>
      </c>
      <c r="Q74" s="9"/>
    </row>
    <row r="75" spans="2:17" ht="24.95" customHeight="1">
      <c r="B75" s="396" t="s">
        <v>735</v>
      </c>
      <c r="C75" s="391"/>
      <c r="D75" s="391"/>
      <c r="E75" s="391"/>
      <c r="F75" s="391"/>
      <c r="G75" s="391"/>
      <c r="H75" s="391"/>
      <c r="I75" s="391"/>
      <c r="J75" s="391"/>
      <c r="K75" s="391"/>
      <c r="L75" s="391"/>
      <c r="M75" s="391"/>
      <c r="N75" s="391"/>
      <c r="O75" s="392"/>
      <c r="Q75" s="9"/>
    </row>
    <row r="76" spans="2:17" ht="21" customHeight="1">
      <c r="B76" s="399" t="s">
        <v>737</v>
      </c>
      <c r="C76" s="391">
        <f t="shared" ref="C76:O76" si="38">C27/$O$93</f>
        <v>5.8842910974581022E-3</v>
      </c>
      <c r="D76" s="391">
        <f t="shared" si="38"/>
        <v>9.6256203568032396E-4</v>
      </c>
      <c r="E76" s="391">
        <f t="shared" si="38"/>
        <v>3.5362328347073784E-4</v>
      </c>
      <c r="F76" s="391">
        <f t="shared" si="38"/>
        <v>1.7265106036587569E-2</v>
      </c>
      <c r="G76" s="391">
        <f t="shared" si="38"/>
        <v>-3.3158615163561026E-3</v>
      </c>
      <c r="H76" s="391">
        <f t="shared" si="38"/>
        <v>1.0705835451131357E-4</v>
      </c>
      <c r="I76" s="391">
        <f t="shared" si="38"/>
        <v>1.3007326877215813E-3</v>
      </c>
      <c r="J76" s="391">
        <f t="shared" si="38"/>
        <v>5.5912131892693726E-4</v>
      </c>
      <c r="K76" s="391">
        <f t="shared" si="38"/>
        <v>7.3572957584428519E-4</v>
      </c>
      <c r="L76" s="391">
        <f t="shared" si="38"/>
        <v>2.0595385843464363E-3</v>
      </c>
      <c r="M76" s="391">
        <f t="shared" si="38"/>
        <v>2.2488596133376907E-3</v>
      </c>
      <c r="N76" s="391">
        <f t="shared" si="38"/>
        <v>-5.3019642373161938E-3</v>
      </c>
      <c r="O76" s="392">
        <f t="shared" si="38"/>
        <v>2.2858796834212679E-2</v>
      </c>
      <c r="Q76" s="9"/>
    </row>
    <row r="77" spans="2:17" ht="21" customHeight="1">
      <c r="B77" s="399" t="s">
        <v>736</v>
      </c>
      <c r="C77" s="391">
        <f t="shared" ref="C77:O77" si="39">C28/$O$93</f>
        <v>4.085981668952683E-3</v>
      </c>
      <c r="D77" s="391">
        <f t="shared" si="39"/>
        <v>-1.0368694942690669E-4</v>
      </c>
      <c r="E77" s="391">
        <f t="shared" si="39"/>
        <v>-7.1294864899715748E-4</v>
      </c>
      <c r="F77" s="391">
        <f t="shared" si="39"/>
        <v>1.6234354065711477E-2</v>
      </c>
      <c r="G77" s="391">
        <f t="shared" si="39"/>
        <v>-4.3803103637648924E-3</v>
      </c>
      <c r="H77" s="391">
        <f t="shared" si="39"/>
        <v>-9.5436530881983731E-4</v>
      </c>
      <c r="I77" s="391">
        <f t="shared" si="39"/>
        <v>2.4928841644490793E-4</v>
      </c>
      <c r="J77" s="391">
        <f t="shared" si="39"/>
        <v>-4.9622502450402596E-4</v>
      </c>
      <c r="K77" s="391">
        <f t="shared" si="39"/>
        <v>-3.0423937906753494E-4</v>
      </c>
      <c r="L77" s="391">
        <f t="shared" si="39"/>
        <v>1.015603367087618E-3</v>
      </c>
      <c r="M77" s="391">
        <f t="shared" si="39"/>
        <v>1.1901697529780324E-3</v>
      </c>
      <c r="N77" s="391">
        <f t="shared" si="39"/>
        <v>-7.010890719090339E-3</v>
      </c>
      <c r="O77" s="392">
        <f t="shared" si="39"/>
        <v>8.8127308775040256E-3</v>
      </c>
      <c r="Q77" s="9"/>
    </row>
    <row r="78" spans="2:17" ht="24.95" customHeight="1">
      <c r="B78" s="397" t="s">
        <v>328</v>
      </c>
      <c r="C78" s="359"/>
      <c r="D78" s="359"/>
      <c r="E78" s="359"/>
      <c r="F78" s="359"/>
      <c r="G78" s="359"/>
      <c r="H78" s="359"/>
      <c r="I78" s="359"/>
      <c r="J78" s="359"/>
      <c r="K78" s="359"/>
      <c r="L78" s="359"/>
      <c r="M78" s="359"/>
      <c r="N78" s="359"/>
      <c r="O78" s="398"/>
      <c r="Q78" s="9"/>
    </row>
    <row r="79" spans="2:17" ht="21" customHeight="1">
      <c r="B79" s="399" t="s">
        <v>329</v>
      </c>
      <c r="C79" s="391">
        <f t="shared" ref="C79:O92" si="40">C30/$O$93</f>
        <v>8.6468281651644135E-4</v>
      </c>
      <c r="D79" s="391">
        <f t="shared" si="40"/>
        <v>-1.2640493618974425E-3</v>
      </c>
      <c r="E79" s="391">
        <f t="shared" si="40"/>
        <v>-3.490789547045816E-3</v>
      </c>
      <c r="F79" s="391">
        <f t="shared" si="40"/>
        <v>1.5614467179530675E-2</v>
      </c>
      <c r="G79" s="391">
        <f t="shared" si="40"/>
        <v>-5.1957577658773429E-3</v>
      </c>
      <c r="H79" s="391">
        <f t="shared" si="40"/>
        <v>-3.7824213169313048E-3</v>
      </c>
      <c r="I79" s="391">
        <f t="shared" si="40"/>
        <v>-3.5755292670589874E-3</v>
      </c>
      <c r="J79" s="391">
        <f t="shared" si="40"/>
        <v>-1.8251722850035324E-3</v>
      </c>
      <c r="K79" s="391">
        <f t="shared" si="40"/>
        <v>-2.2868456271534581E-3</v>
      </c>
      <c r="L79" s="391">
        <f t="shared" si="40"/>
        <v>5.7213828139452571E-5</v>
      </c>
      <c r="M79" s="391">
        <f t="shared" si="40"/>
        <v>4.1503683630424117E-4</v>
      </c>
      <c r="N79" s="391">
        <f t="shared" si="40"/>
        <v>-8.1358101679452916E-3</v>
      </c>
      <c r="O79" s="392">
        <f t="shared" si="40"/>
        <v>-1.2604974678422367E-2</v>
      </c>
      <c r="Q79" s="9"/>
    </row>
    <row r="80" spans="2:17" ht="21" customHeight="1">
      <c r="B80" s="399" t="s">
        <v>330</v>
      </c>
      <c r="C80" s="391">
        <f t="shared" si="40"/>
        <v>7.4402427602780373E-4</v>
      </c>
      <c r="D80" s="391">
        <f t="shared" si="40"/>
        <v>-1.5041383366581013E-3</v>
      </c>
      <c r="E80" s="391">
        <f t="shared" si="40"/>
        <v>-3.6530830776752756E-3</v>
      </c>
      <c r="F80" s="391">
        <f t="shared" si="40"/>
        <v>1.5446043632867099E-2</v>
      </c>
      <c r="G80" s="391">
        <f t="shared" si="40"/>
        <v>-5.4042156392884195E-3</v>
      </c>
      <c r="H80" s="391">
        <f t="shared" si="40"/>
        <v>-3.8906887988382362E-3</v>
      </c>
      <c r="I80" s="391">
        <f t="shared" si="40"/>
        <v>-3.7384609351673679E-3</v>
      </c>
      <c r="J80" s="391">
        <f t="shared" si="40"/>
        <v>-1.8865078716073316E-3</v>
      </c>
      <c r="K80" s="391">
        <f t="shared" si="40"/>
        <v>-2.5829747386300938E-3</v>
      </c>
      <c r="L80" s="391">
        <f t="shared" si="40"/>
        <v>-1.6183112560414718E-5</v>
      </c>
      <c r="M80" s="391">
        <f t="shared" si="40"/>
        <v>1.0920167108530147E-4</v>
      </c>
      <c r="N80" s="391">
        <f t="shared" si="40"/>
        <v>-8.5471972187655346E-3</v>
      </c>
      <c r="O80" s="392">
        <f t="shared" si="40"/>
        <v>-1.4924180149210571E-2</v>
      </c>
      <c r="Q80" s="9"/>
    </row>
    <row r="81" spans="2:17" ht="21" customHeight="1">
      <c r="B81" s="399" t="s">
        <v>355</v>
      </c>
      <c r="C81" s="391">
        <f t="shared" si="40"/>
        <v>-9.3362661198897817E-4</v>
      </c>
      <c r="D81" s="391">
        <f t="shared" si="40"/>
        <v>-2.3302983470046734E-3</v>
      </c>
      <c r="E81" s="391">
        <f t="shared" si="40"/>
        <v>-4.5573614795137111E-3</v>
      </c>
      <c r="F81" s="391">
        <f t="shared" si="40"/>
        <v>1.4583715208654585E-2</v>
      </c>
      <c r="G81" s="391">
        <f t="shared" si="40"/>
        <v>-6.2602066132861336E-3</v>
      </c>
      <c r="H81" s="391">
        <f t="shared" si="40"/>
        <v>-4.8438449802624553E-3</v>
      </c>
      <c r="I81" s="391">
        <f t="shared" si="40"/>
        <v>-4.6269735383356603E-3</v>
      </c>
      <c r="J81" s="391">
        <f t="shared" si="40"/>
        <v>-2.8805186284344957E-3</v>
      </c>
      <c r="K81" s="391">
        <f t="shared" si="40"/>
        <v>-3.3268145820652783E-3</v>
      </c>
      <c r="L81" s="391">
        <f t="shared" si="40"/>
        <v>-9.8672138911936593E-4</v>
      </c>
      <c r="M81" s="391">
        <f t="shared" si="40"/>
        <v>-6.4365302405541727E-4</v>
      </c>
      <c r="N81" s="391">
        <f t="shared" si="40"/>
        <v>-9.844736649719436E-3</v>
      </c>
      <c r="O81" s="392">
        <f t="shared" si="40"/>
        <v>-2.6651040635131022E-2</v>
      </c>
      <c r="Q81" s="9"/>
    </row>
    <row r="82" spans="2:17" ht="24.95" customHeight="1">
      <c r="B82" s="390" t="s">
        <v>332</v>
      </c>
      <c r="C82" s="391">
        <f t="shared" si="40"/>
        <v>4.0109195657663564E-3</v>
      </c>
      <c r="D82" s="391">
        <f t="shared" si="40"/>
        <v>-1.4735183866562997E-3</v>
      </c>
      <c r="E82" s="391">
        <f t="shared" si="40"/>
        <v>-4.07574828433423E-4</v>
      </c>
      <c r="F82" s="391">
        <f t="shared" si="40"/>
        <v>-7.2726118492808434E-4</v>
      </c>
      <c r="G82" s="391">
        <f t="shared" si="40"/>
        <v>1.850551446179031E-5</v>
      </c>
      <c r="H82" s="391">
        <f t="shared" si="40"/>
        <v>-9.6168856780573617E-4</v>
      </c>
      <c r="I82" s="391">
        <f t="shared" si="40"/>
        <v>1.3705935008485265E-2</v>
      </c>
      <c r="J82" s="391">
        <f t="shared" si="40"/>
        <v>-1.1232522560208529E-3</v>
      </c>
      <c r="K82" s="391">
        <f t="shared" si="40"/>
        <v>-3.5934367224240453E-3</v>
      </c>
      <c r="L82" s="391">
        <f t="shared" si="40"/>
        <v>-3.7247489743615324E-3</v>
      </c>
      <c r="M82" s="391">
        <f t="shared" si="40"/>
        <v>-9.1322148533173897E-4</v>
      </c>
      <c r="N82" s="391">
        <f t="shared" si="40"/>
        <v>3.6782645122566135E-4</v>
      </c>
      <c r="O82" s="392">
        <f t="shared" si="40"/>
        <v>5.1784841339773593E-3</v>
      </c>
      <c r="Q82" s="9"/>
    </row>
    <row r="83" spans="2:17" ht="15.75">
      <c r="B83" s="376" t="s">
        <v>276</v>
      </c>
      <c r="C83" s="393">
        <f t="shared" si="40"/>
        <v>4.6399182302296433E-3</v>
      </c>
      <c r="D83" s="393">
        <f t="shared" si="40"/>
        <v>2.201534028938164E-4</v>
      </c>
      <c r="E83" s="393">
        <f t="shared" si="40"/>
        <v>3.0419598348846796E-4</v>
      </c>
      <c r="F83" s="393">
        <f t="shared" si="40"/>
        <v>2.9864862144211868E-4</v>
      </c>
      <c r="G83" s="393">
        <f t="shared" si="40"/>
        <v>1.0971022660373783E-3</v>
      </c>
      <c r="H83" s="393">
        <f t="shared" si="40"/>
        <v>2.0684070654497421E-4</v>
      </c>
      <c r="I83" s="393">
        <f t="shared" si="40"/>
        <v>1.4347691986088927E-2</v>
      </c>
      <c r="J83" s="393">
        <f t="shared" si="40"/>
        <v>5.9883006983935951E-4</v>
      </c>
      <c r="K83" s="393">
        <f t="shared" si="40"/>
        <v>3.089509140367211E-4</v>
      </c>
      <c r="L83" s="393">
        <f t="shared" si="40"/>
        <v>1.0426605564582794E-3</v>
      </c>
      <c r="M83" s="393">
        <f t="shared" si="40"/>
        <v>1.7179481435655917E-4</v>
      </c>
      <c r="N83" s="393">
        <f t="shared" si="40"/>
        <v>1.5425387628017714E-3</v>
      </c>
      <c r="O83" s="394">
        <f t="shared" si="40"/>
        <v>2.4779326314218017E-2</v>
      </c>
      <c r="P83" s="55"/>
      <c r="Q83" s="9"/>
    </row>
    <row r="84" spans="2:17" ht="15.75">
      <c r="B84" s="376" t="s">
        <v>277</v>
      </c>
      <c r="C84" s="393">
        <f t="shared" si="40"/>
        <v>-6.2899866446328699E-4</v>
      </c>
      <c r="D84" s="393">
        <f t="shared" si="40"/>
        <v>-1.6936717895501162E-3</v>
      </c>
      <c r="E84" s="393">
        <f t="shared" si="40"/>
        <v>-7.1177081192189096E-4</v>
      </c>
      <c r="F84" s="393">
        <f t="shared" si="40"/>
        <v>-1.025909806370203E-3</v>
      </c>
      <c r="G84" s="393">
        <f t="shared" si="40"/>
        <v>-1.0785967515755878E-3</v>
      </c>
      <c r="H84" s="393">
        <f t="shared" si="40"/>
        <v>-1.1685292743507103E-3</v>
      </c>
      <c r="I84" s="393">
        <f t="shared" si="40"/>
        <v>-6.4175697760366344E-4</v>
      </c>
      <c r="J84" s="393">
        <f t="shared" si="40"/>
        <v>-1.7220823258602125E-3</v>
      </c>
      <c r="K84" s="393">
        <f t="shared" si="40"/>
        <v>-3.9023876364607667E-3</v>
      </c>
      <c r="L84" s="393">
        <f t="shared" si="40"/>
        <v>-4.7674095308198119E-3</v>
      </c>
      <c r="M84" s="393">
        <f t="shared" si="40"/>
        <v>-1.0850162996882981E-3</v>
      </c>
      <c r="N84" s="393">
        <f t="shared" si="40"/>
        <v>-1.17471231157611E-3</v>
      </c>
      <c r="O84" s="394">
        <f t="shared" si="40"/>
        <v>-1.9600842180240656E-2</v>
      </c>
      <c r="P84" s="55"/>
      <c r="Q84" s="9"/>
    </row>
    <row r="85" spans="2:17" ht="24.95" customHeight="1">
      <c r="B85" s="390" t="s">
        <v>333</v>
      </c>
      <c r="C85" s="391">
        <f t="shared" si="40"/>
        <v>-4.8756023822827971E-3</v>
      </c>
      <c r="D85" s="391">
        <f t="shared" si="40"/>
        <v>2.7375677485537422E-3</v>
      </c>
      <c r="E85" s="391">
        <f t="shared" si="40"/>
        <v>3.8983643754792385E-3</v>
      </c>
      <c r="F85" s="391">
        <f t="shared" si="40"/>
        <v>-1.488720599460259E-2</v>
      </c>
      <c r="G85" s="391">
        <f t="shared" si="40"/>
        <v>5.1772522514155535E-3</v>
      </c>
      <c r="H85" s="391">
        <f t="shared" si="40"/>
        <v>4.7441098847370421E-3</v>
      </c>
      <c r="I85" s="391">
        <f t="shared" si="40"/>
        <v>-1.0130405741426277E-2</v>
      </c>
      <c r="J85" s="391">
        <f t="shared" si="40"/>
        <v>2.9484245410243853E-3</v>
      </c>
      <c r="K85" s="391">
        <f t="shared" si="40"/>
        <v>5.8802823495775055E-3</v>
      </c>
      <c r="L85" s="391">
        <f t="shared" si="40"/>
        <v>3.66753514622208E-3</v>
      </c>
      <c r="M85" s="391">
        <f t="shared" si="40"/>
        <v>4.9818464902749769E-4</v>
      </c>
      <c r="N85" s="391">
        <f t="shared" si="40"/>
        <v>7.7679837167196298E-3</v>
      </c>
      <c r="O85" s="392">
        <f t="shared" si="40"/>
        <v>7.4264905444450082E-3</v>
      </c>
      <c r="Q85" s="9"/>
    </row>
    <row r="86" spans="2:17" ht="15.75">
      <c r="B86" s="376" t="s">
        <v>279</v>
      </c>
      <c r="C86" s="393">
        <f t="shared" si="40"/>
        <v>-4.5544831296383996E-3</v>
      </c>
      <c r="D86" s="393">
        <f t="shared" si="40"/>
        <v>1.3940906157822062E-3</v>
      </c>
      <c r="E86" s="393">
        <f t="shared" si="40"/>
        <v>9.8525354857477519E-4</v>
      </c>
      <c r="F86" s="393">
        <f t="shared" si="40"/>
        <v>-8.5743053059952553E-4</v>
      </c>
      <c r="G86" s="393">
        <f t="shared" si="40"/>
        <v>-5.1000589343952124E-3</v>
      </c>
      <c r="H86" s="393">
        <f t="shared" si="40"/>
        <v>2.212500777144208E-3</v>
      </c>
      <c r="I86" s="393">
        <f t="shared" si="40"/>
        <v>-7.5881511796857199E-3</v>
      </c>
      <c r="J86" s="393">
        <f t="shared" si="40"/>
        <v>-5.5110078159599713E-4</v>
      </c>
      <c r="K86" s="393">
        <f t="shared" si="40"/>
        <v>1.7613349840771785E-3</v>
      </c>
      <c r="L86" s="393">
        <f t="shared" si="40"/>
        <v>4.9950608168111837E-3</v>
      </c>
      <c r="M86" s="393">
        <f t="shared" si="40"/>
        <v>1.5775835535561736E-3</v>
      </c>
      <c r="N86" s="393">
        <f t="shared" si="40"/>
        <v>4.6118999391332981E-3</v>
      </c>
      <c r="O86" s="394">
        <f t="shared" si="40"/>
        <v>-1.1135003208358302E-3</v>
      </c>
      <c r="Q86" s="9"/>
    </row>
    <row r="87" spans="2:17" ht="15.75">
      <c r="B87" s="376" t="s">
        <v>282</v>
      </c>
      <c r="C87" s="393">
        <f t="shared" si="40"/>
        <v>-4.8343188417365978E-4</v>
      </c>
      <c r="D87" s="393">
        <f t="shared" si="40"/>
        <v>1.156580411207149E-3</v>
      </c>
      <c r="E87" s="393">
        <f t="shared" si="40"/>
        <v>1.862382573318279E-3</v>
      </c>
      <c r="F87" s="393">
        <f t="shared" si="40"/>
        <v>-1.2295042295449889E-2</v>
      </c>
      <c r="G87" s="393">
        <f t="shared" si="40"/>
        <v>7.4772379661617984E-3</v>
      </c>
      <c r="H87" s="393">
        <f t="shared" si="40"/>
        <v>3.1861629650296623E-3</v>
      </c>
      <c r="I87" s="393">
        <f t="shared" si="40"/>
        <v>-7.3172995793059355E-4</v>
      </c>
      <c r="J87" s="393">
        <f t="shared" si="40"/>
        <v>-1.6560951815524003E-3</v>
      </c>
      <c r="K87" s="393">
        <f t="shared" si="40"/>
        <v>4.7597188606950782E-3</v>
      </c>
      <c r="L87" s="393">
        <f t="shared" si="40"/>
        <v>-8.6876415841614528E-4</v>
      </c>
      <c r="M87" s="393">
        <f t="shared" si="40"/>
        <v>-9.1899847219205344E-4</v>
      </c>
      <c r="N87" s="393">
        <f t="shared" si="40"/>
        <v>3.5601737894012152E-3</v>
      </c>
      <c r="O87" s="394">
        <f t="shared" si="40"/>
        <v>5.0481946160984403E-3</v>
      </c>
      <c r="Q87" s="9"/>
    </row>
    <row r="88" spans="2:17" ht="15.75">
      <c r="B88" s="376" t="s">
        <v>283</v>
      </c>
      <c r="C88" s="393">
        <f t="shared" si="40"/>
        <v>0</v>
      </c>
      <c r="D88" s="393">
        <f t="shared" si="40"/>
        <v>0</v>
      </c>
      <c r="E88" s="393">
        <f t="shared" si="40"/>
        <v>0</v>
      </c>
      <c r="F88" s="393">
        <f t="shared" si="40"/>
        <v>0</v>
      </c>
      <c r="G88" s="393">
        <f t="shared" si="40"/>
        <v>0</v>
      </c>
      <c r="H88" s="393">
        <f t="shared" si="40"/>
        <v>0</v>
      </c>
      <c r="I88" s="393">
        <f t="shared" si="40"/>
        <v>0</v>
      </c>
      <c r="J88" s="393">
        <f t="shared" si="40"/>
        <v>0</v>
      </c>
      <c r="K88" s="393">
        <f t="shared" si="40"/>
        <v>0</v>
      </c>
      <c r="L88" s="393">
        <f t="shared" si="40"/>
        <v>0</v>
      </c>
      <c r="M88" s="393">
        <f t="shared" si="40"/>
        <v>0</v>
      </c>
      <c r="N88" s="393">
        <f t="shared" si="40"/>
        <v>0</v>
      </c>
      <c r="O88" s="394">
        <f t="shared" si="40"/>
        <v>0</v>
      </c>
      <c r="Q88" s="9"/>
    </row>
    <row r="89" spans="2:17" ht="15.75">
      <c r="B89" s="376" t="s">
        <v>284</v>
      </c>
      <c r="C89" s="393">
        <f t="shared" si="40"/>
        <v>1.6614505172134562E-3</v>
      </c>
      <c r="D89" s="393">
        <f t="shared" si="40"/>
        <v>2.4942177803686854E-3</v>
      </c>
      <c r="E89" s="393">
        <f t="shared" si="40"/>
        <v>1.3133896708516042E-3</v>
      </c>
      <c r="F89" s="393">
        <f t="shared" si="40"/>
        <v>-2.0864325780387108E-4</v>
      </c>
      <c r="G89" s="393">
        <f t="shared" si="40"/>
        <v>9.1508307345375189E-4</v>
      </c>
      <c r="H89" s="393">
        <f t="shared" si="40"/>
        <v>1.655262317447866E-3</v>
      </c>
      <c r="I89" s="393">
        <f t="shared" si="40"/>
        <v>5.2143625345109552E-4</v>
      </c>
      <c r="J89" s="393">
        <f t="shared" si="40"/>
        <v>5.0803777476756675E-3</v>
      </c>
      <c r="K89" s="393">
        <f t="shared" si="40"/>
        <v>1.0166671454898387E-3</v>
      </c>
      <c r="L89" s="393">
        <f t="shared" si="40"/>
        <v>4.7379621667010792E-4</v>
      </c>
      <c r="M89" s="393">
        <f t="shared" si="40"/>
        <v>1.0267673372237888E-4</v>
      </c>
      <c r="N89" s="393">
        <f t="shared" si="40"/>
        <v>3.1180385102778756E-3</v>
      </c>
      <c r="O89" s="394">
        <f t="shared" si="40"/>
        <v>1.8143752708818454E-2</v>
      </c>
      <c r="Q89" s="9"/>
    </row>
    <row r="90" spans="2:17" ht="15.75">
      <c r="B90" s="376" t="s">
        <v>334</v>
      </c>
      <c r="C90" s="393">
        <f t="shared" si="40"/>
        <v>0</v>
      </c>
      <c r="D90" s="393">
        <f t="shared" si="40"/>
        <v>0</v>
      </c>
      <c r="E90" s="393">
        <f t="shared" si="40"/>
        <v>0</v>
      </c>
      <c r="F90" s="393">
        <f t="shared" si="40"/>
        <v>0</v>
      </c>
      <c r="G90" s="393">
        <f t="shared" si="40"/>
        <v>0</v>
      </c>
      <c r="H90" s="393">
        <f t="shared" si="40"/>
        <v>0</v>
      </c>
      <c r="I90" s="393">
        <f t="shared" si="40"/>
        <v>0</v>
      </c>
      <c r="J90" s="393">
        <f t="shared" si="40"/>
        <v>0</v>
      </c>
      <c r="K90" s="393">
        <f t="shared" si="40"/>
        <v>0</v>
      </c>
      <c r="L90" s="393">
        <f t="shared" si="40"/>
        <v>0</v>
      </c>
      <c r="M90" s="393">
        <f t="shared" si="40"/>
        <v>0</v>
      </c>
      <c r="N90" s="393">
        <f t="shared" si="40"/>
        <v>0</v>
      </c>
      <c r="O90" s="394">
        <f t="shared" si="40"/>
        <v>0</v>
      </c>
      <c r="Q90" s="9"/>
    </row>
    <row r="91" spans="2:17" ht="15.75">
      <c r="B91" s="376" t="s">
        <v>335</v>
      </c>
      <c r="C91" s="393">
        <f t="shared" si="40"/>
        <v>-1.7983094285054194E-3</v>
      </c>
      <c r="D91" s="393">
        <f t="shared" si="40"/>
        <v>-1.0662489851072307E-3</v>
      </c>
      <c r="E91" s="393">
        <f t="shared" si="40"/>
        <v>-1.0665719324678953E-3</v>
      </c>
      <c r="F91" s="393">
        <f t="shared" si="40"/>
        <v>-1.030751970876089E-3</v>
      </c>
      <c r="G91" s="393">
        <f t="shared" si="40"/>
        <v>-1.0644488474087902E-3</v>
      </c>
      <c r="H91" s="393">
        <f t="shared" si="40"/>
        <v>-1.061423663331151E-3</v>
      </c>
      <c r="I91" s="393">
        <f t="shared" si="40"/>
        <v>-1.0514442712766733E-3</v>
      </c>
      <c r="J91" s="393">
        <f t="shared" si="40"/>
        <v>-1.0553463434309633E-3</v>
      </c>
      <c r="K91" s="393">
        <f t="shared" si="40"/>
        <v>-1.03996895491182E-3</v>
      </c>
      <c r="L91" s="393">
        <f t="shared" si="40"/>
        <v>-1.0439352172588185E-3</v>
      </c>
      <c r="M91" s="393">
        <f t="shared" si="40"/>
        <v>-1.0586898603596585E-3</v>
      </c>
      <c r="N91" s="393">
        <f t="shared" si="40"/>
        <v>-1.7089264817741455E-3</v>
      </c>
      <c r="O91" s="394">
        <f t="shared" si="40"/>
        <v>-1.4046065956708655E-2</v>
      </c>
      <c r="Q91" s="9"/>
    </row>
    <row r="92" spans="2:17" ht="15.75">
      <c r="B92" s="400" t="s">
        <v>336</v>
      </c>
      <c r="C92" s="401">
        <f t="shared" si="40"/>
        <v>2.9917154282122513E-4</v>
      </c>
      <c r="D92" s="401">
        <f t="shared" si="40"/>
        <v>-1.2410720736970677E-3</v>
      </c>
      <c r="E92" s="401">
        <f t="shared" si="40"/>
        <v>8.0391051520247532E-4</v>
      </c>
      <c r="F92" s="401">
        <f t="shared" si="40"/>
        <v>-4.9533793987321614E-4</v>
      </c>
      <c r="G92" s="401">
        <f t="shared" si="40"/>
        <v>2.9494389936040059E-3</v>
      </c>
      <c r="H92" s="401">
        <f t="shared" si="40"/>
        <v>-1.2483925115535437E-3</v>
      </c>
      <c r="I92" s="401">
        <f t="shared" si="40"/>
        <v>-1.2805165859843858E-3</v>
      </c>
      <c r="J92" s="401">
        <f t="shared" si="40"/>
        <v>1.1305890999280788E-3</v>
      </c>
      <c r="K92" s="401">
        <f t="shared" si="40"/>
        <v>-6.174696857727713E-4</v>
      </c>
      <c r="L92" s="401">
        <f t="shared" si="40"/>
        <v>1.1137748841575206E-4</v>
      </c>
      <c r="M92" s="401">
        <f t="shared" si="40"/>
        <v>7.9561269430065713E-4</v>
      </c>
      <c r="N92" s="401">
        <f t="shared" si="40"/>
        <v>-1.8132020403186136E-3</v>
      </c>
      <c r="O92" s="402">
        <f t="shared" si="40"/>
        <v>-6.0589050292740392E-4</v>
      </c>
      <c r="Q92" s="9"/>
    </row>
    <row r="93" spans="2:17" ht="24.95" customHeight="1" thickBot="1">
      <c r="B93" s="403" t="s">
        <v>359</v>
      </c>
      <c r="C93" s="404"/>
      <c r="D93" s="405"/>
      <c r="E93" s="405"/>
      <c r="F93" s="405"/>
      <c r="G93" s="405"/>
      <c r="H93" s="405"/>
      <c r="I93" s="405"/>
      <c r="J93" s="405"/>
      <c r="K93" s="405"/>
      <c r="L93" s="405"/>
      <c r="M93" s="405"/>
      <c r="N93" s="405"/>
      <c r="O93" s="496">
        <v>26056.94</v>
      </c>
      <c r="Q93" s="9"/>
    </row>
    <row r="94" spans="2:17">
      <c r="B94" s="48" t="s">
        <v>338</v>
      </c>
      <c r="Q94" s="9"/>
    </row>
    <row r="95" spans="2:17">
      <c r="B95" s="48" t="s">
        <v>620</v>
      </c>
      <c r="Q95" s="9"/>
    </row>
    <row r="96" spans="2:17">
      <c r="Q96" s="9"/>
    </row>
    <row r="97" spans="2:17" ht="16.5" thickBot="1">
      <c r="B97" s="353" t="s">
        <v>340</v>
      </c>
      <c r="C97" s="2"/>
      <c r="D97" s="2"/>
      <c r="E97" s="2"/>
      <c r="F97" s="2"/>
      <c r="G97" s="2"/>
      <c r="H97" s="2"/>
      <c r="I97" s="2"/>
      <c r="J97" s="2"/>
      <c r="K97" s="2"/>
      <c r="L97" s="2"/>
      <c r="M97" s="2"/>
      <c r="N97" s="2"/>
      <c r="O97" s="2"/>
      <c r="Q97" s="9"/>
    </row>
    <row r="98" spans="2:17" ht="24.95" customHeight="1" thickBot="1">
      <c r="B98" s="407" t="s">
        <v>357</v>
      </c>
      <c r="C98" s="408">
        <f t="shared" ref="C98:O98" si="41">C49/$O$93</f>
        <v>1.7983094285054194E-3</v>
      </c>
      <c r="D98" s="409">
        <f t="shared" si="41"/>
        <v>1.0662489851072307E-3</v>
      </c>
      <c r="E98" s="409">
        <f t="shared" si="41"/>
        <v>1.0665719324678953E-3</v>
      </c>
      <c r="F98" s="409">
        <f t="shared" si="41"/>
        <v>1.030751970876089E-3</v>
      </c>
      <c r="G98" s="409">
        <f t="shared" si="41"/>
        <v>1.0644488474087902E-3</v>
      </c>
      <c r="H98" s="409">
        <f t="shared" si="41"/>
        <v>1.061423663331151E-3</v>
      </c>
      <c r="I98" s="409">
        <f t="shared" si="41"/>
        <v>1.0514442712766733E-3</v>
      </c>
      <c r="J98" s="409">
        <f t="shared" si="41"/>
        <v>1.0553463434309633E-3</v>
      </c>
      <c r="K98" s="409">
        <f t="shared" si="41"/>
        <v>1.03996895491182E-3</v>
      </c>
      <c r="L98" s="409">
        <f t="shared" si="41"/>
        <v>1.0439352172588185E-3</v>
      </c>
      <c r="M98" s="409">
        <f t="shared" si="41"/>
        <v>1.0586898603596585E-3</v>
      </c>
      <c r="N98" s="410">
        <f t="shared" si="41"/>
        <v>1.7089264817741455E-3</v>
      </c>
      <c r="O98" s="411">
        <f t="shared" si="41"/>
        <v>1.4046065956708655E-2</v>
      </c>
      <c r="Q98" s="9"/>
    </row>
    <row r="99" spans="2:17">
      <c r="Q99" s="9"/>
    </row>
    <row r="100" spans="2:17">
      <c r="Q100" s="9"/>
    </row>
  </sheetData>
  <printOptions horizontalCentered="1"/>
  <pageMargins left="0.7" right="0.7" top="0.75" bottom="0.75" header="0.3" footer="0.3"/>
  <pageSetup scale="2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00"/>
  <sheetViews>
    <sheetView workbookViewId="0">
      <selection activeCell="H47" sqref="H47"/>
    </sheetView>
  </sheetViews>
  <sheetFormatPr baseColWidth="10" defaultRowHeight="15"/>
  <cols>
    <col min="1" max="1" width="2.7109375" customWidth="1"/>
    <col min="2" max="2" width="52.42578125" customWidth="1"/>
    <col min="3" max="14" width="8.7109375" customWidth="1"/>
    <col min="15" max="15" width="9.28515625" customWidth="1"/>
  </cols>
  <sheetData>
    <row r="1" spans="1:17" ht="15.75">
      <c r="A1" s="2"/>
      <c r="B1" s="353" t="s">
        <v>18</v>
      </c>
      <c r="C1" s="2"/>
      <c r="D1" s="2"/>
      <c r="E1" s="2"/>
      <c r="F1" s="2"/>
      <c r="G1" s="2"/>
      <c r="H1" s="2"/>
      <c r="I1" s="2"/>
      <c r="J1" s="2"/>
      <c r="K1" s="2"/>
      <c r="L1" s="2"/>
      <c r="M1" s="2"/>
      <c r="N1" s="2"/>
      <c r="O1" s="2"/>
      <c r="P1" s="2"/>
    </row>
    <row r="2" spans="1:17" ht="15.75">
      <c r="A2" s="2"/>
      <c r="B2" s="353" t="s">
        <v>777</v>
      </c>
      <c r="C2" s="2"/>
      <c r="D2" s="2"/>
      <c r="E2" s="2"/>
      <c r="F2" s="2"/>
      <c r="G2" s="2"/>
      <c r="H2" s="2"/>
      <c r="I2" s="268"/>
      <c r="J2" s="268"/>
      <c r="K2" s="268"/>
      <c r="L2" s="268"/>
      <c r="M2" s="268"/>
      <c r="N2" s="268"/>
      <c r="O2" s="268"/>
      <c r="P2" s="2"/>
    </row>
    <row r="3" spans="1:17" ht="15.75">
      <c r="A3" s="2"/>
      <c r="B3" s="353" t="s">
        <v>19</v>
      </c>
      <c r="C3" s="2"/>
      <c r="D3" s="2"/>
      <c r="E3" s="2"/>
      <c r="F3" s="2"/>
      <c r="G3" s="2"/>
      <c r="H3" s="2"/>
      <c r="I3" s="268"/>
      <c r="J3" s="268"/>
      <c r="K3" s="268"/>
      <c r="L3" s="268"/>
      <c r="M3" s="268"/>
      <c r="N3" s="268"/>
      <c r="O3" s="268"/>
      <c r="P3" s="2"/>
    </row>
    <row r="4" spans="1:17" ht="16.5" thickBot="1">
      <c r="A4" s="2"/>
      <c r="B4" s="354"/>
      <c r="C4" s="2"/>
      <c r="D4" s="2"/>
      <c r="E4" s="2"/>
      <c r="F4" s="2"/>
      <c r="G4" s="2"/>
      <c r="H4" s="2"/>
      <c r="I4" s="2"/>
      <c r="J4" s="2"/>
      <c r="K4" s="2"/>
      <c r="L4" s="2"/>
      <c r="M4" s="2"/>
      <c r="N4" s="2"/>
      <c r="O4" s="2"/>
      <c r="P4" s="2"/>
    </row>
    <row r="5" spans="1:17"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778</v>
      </c>
      <c r="P5" s="2"/>
    </row>
    <row r="6" spans="1:17" ht="15.75">
      <c r="A6" s="2"/>
      <c r="B6" s="358"/>
      <c r="C6" s="359"/>
      <c r="D6" s="359"/>
      <c r="E6" s="359"/>
      <c r="F6" s="359"/>
      <c r="G6" s="359"/>
      <c r="H6" s="359"/>
      <c r="I6" s="359"/>
      <c r="J6" s="359"/>
      <c r="K6" s="359"/>
      <c r="L6" s="359"/>
      <c r="M6" s="359"/>
      <c r="N6" s="359"/>
      <c r="O6" s="360"/>
      <c r="P6" s="2"/>
      <c r="Q6" s="9"/>
    </row>
    <row r="7" spans="1:17" ht="24.95" customHeight="1">
      <c r="A7" s="2"/>
      <c r="B7" s="390" t="s">
        <v>239</v>
      </c>
      <c r="C7" s="494">
        <f t="shared" ref="C7:N7" si="0">+C8+C12+C13</f>
        <v>539.71758997999996</v>
      </c>
      <c r="D7" s="494">
        <f t="shared" si="0"/>
        <v>456.57566676345135</v>
      </c>
      <c r="E7" s="494">
        <f t="shared" si="0"/>
        <v>465.70426817982309</v>
      </c>
      <c r="F7" s="494">
        <f t="shared" si="0"/>
        <v>891.05329410243507</v>
      </c>
      <c r="G7" s="494">
        <f t="shared" si="0"/>
        <v>474.74066597349582</v>
      </c>
      <c r="H7" s="494">
        <f t="shared" si="0"/>
        <v>448.43171576432576</v>
      </c>
      <c r="I7" s="494">
        <f t="shared" si="0"/>
        <v>0</v>
      </c>
      <c r="J7" s="494">
        <f t="shared" si="0"/>
        <v>0</v>
      </c>
      <c r="K7" s="494">
        <f t="shared" si="0"/>
        <v>0</v>
      </c>
      <c r="L7" s="494">
        <f t="shared" si="0"/>
        <v>0</v>
      </c>
      <c r="M7" s="494">
        <f t="shared" si="0"/>
        <v>0</v>
      </c>
      <c r="N7" s="494">
        <f t="shared" si="0"/>
        <v>0</v>
      </c>
      <c r="O7" s="495">
        <f>SUM(C7:N7)</f>
        <v>3276.2232007635312</v>
      </c>
      <c r="P7" s="2"/>
      <c r="Q7" s="9"/>
    </row>
    <row r="8" spans="1:17" ht="21" customHeight="1">
      <c r="A8" s="2"/>
      <c r="B8" s="376" t="s">
        <v>240</v>
      </c>
      <c r="C8" s="497">
        <f>+C9+C10+C11</f>
        <v>535.26743948000001</v>
      </c>
      <c r="D8" s="497">
        <f t="shared" ref="D8:N8" si="1">+D9+D10+D11</f>
        <v>447.22730978345135</v>
      </c>
      <c r="E8" s="497">
        <f t="shared" si="1"/>
        <v>457.52828037982312</v>
      </c>
      <c r="F8" s="497">
        <f t="shared" si="1"/>
        <v>881.29638018243509</v>
      </c>
      <c r="G8" s="497">
        <f t="shared" si="1"/>
        <v>468.59543200349583</v>
      </c>
      <c r="H8" s="497">
        <f t="shared" si="1"/>
        <v>436.61073893432575</v>
      </c>
      <c r="I8" s="497">
        <f t="shared" si="1"/>
        <v>0</v>
      </c>
      <c r="J8" s="497">
        <f t="shared" si="1"/>
        <v>0</v>
      </c>
      <c r="K8" s="497">
        <f t="shared" si="1"/>
        <v>0</v>
      </c>
      <c r="L8" s="497">
        <f t="shared" si="1"/>
        <v>0</v>
      </c>
      <c r="M8" s="497">
        <f t="shared" si="1"/>
        <v>0</v>
      </c>
      <c r="N8" s="497">
        <f t="shared" si="1"/>
        <v>0</v>
      </c>
      <c r="O8" s="498">
        <f t="shared" ref="O8:O13" si="2">SUM(C8:N8)</f>
        <v>3226.5255807635308</v>
      </c>
      <c r="P8" s="2"/>
      <c r="Q8" s="9"/>
    </row>
    <row r="9" spans="1:17" ht="18.75">
      <c r="A9" s="2"/>
      <c r="B9" s="371" t="s">
        <v>351</v>
      </c>
      <c r="C9" s="497">
        <v>452.40902637000005</v>
      </c>
      <c r="D9" s="497">
        <v>349.09049650999998</v>
      </c>
      <c r="E9" s="497">
        <v>368.56976227000007</v>
      </c>
      <c r="F9" s="497">
        <v>802.60163243</v>
      </c>
      <c r="G9" s="497">
        <v>365.87664510000008</v>
      </c>
      <c r="H9" s="497">
        <v>356.78480999999994</v>
      </c>
      <c r="I9" s="497"/>
      <c r="J9" s="497"/>
      <c r="K9" s="497"/>
      <c r="L9" s="497"/>
      <c r="M9" s="497"/>
      <c r="N9" s="497"/>
      <c r="O9" s="498">
        <f t="shared" si="2"/>
        <v>2695.3323726800004</v>
      </c>
      <c r="P9" s="2"/>
      <c r="Q9" s="9"/>
    </row>
    <row r="10" spans="1:17" ht="15.75">
      <c r="A10" s="2"/>
      <c r="B10" s="371" t="s">
        <v>317</v>
      </c>
      <c r="C10" s="497">
        <v>73.045167634247804</v>
      </c>
      <c r="D10" s="497">
        <v>86.513725895752188</v>
      </c>
      <c r="E10" s="497">
        <v>76.692261876106201</v>
      </c>
      <c r="F10" s="497">
        <v>67.21296615</v>
      </c>
      <c r="G10" s="497">
        <v>93.103151289203538</v>
      </c>
      <c r="H10" s="497">
        <v>67.981801115221231</v>
      </c>
      <c r="I10" s="497"/>
      <c r="J10" s="497"/>
      <c r="K10" s="497"/>
      <c r="L10" s="497"/>
      <c r="M10" s="497"/>
      <c r="N10" s="497"/>
      <c r="O10" s="498">
        <f t="shared" si="2"/>
        <v>464.54907396053096</v>
      </c>
      <c r="P10" s="2"/>
      <c r="Q10" s="9"/>
    </row>
    <row r="11" spans="1:17" ht="15.75">
      <c r="A11" s="2"/>
      <c r="B11" s="371" t="s">
        <v>318</v>
      </c>
      <c r="C11" s="497">
        <v>9.8132454757522005</v>
      </c>
      <c r="D11" s="497">
        <v>11.623087377699136</v>
      </c>
      <c r="E11" s="497">
        <v>12.266256233716806</v>
      </c>
      <c r="F11" s="497">
        <v>11.481781602435113</v>
      </c>
      <c r="G11" s="497">
        <v>9.6156356142922093</v>
      </c>
      <c r="H11" s="497">
        <v>11.844127819104585</v>
      </c>
      <c r="I11" s="497"/>
      <c r="J11" s="497"/>
      <c r="K11" s="497"/>
      <c r="L11" s="497"/>
      <c r="M11" s="497"/>
      <c r="N11" s="497"/>
      <c r="O11" s="498">
        <f t="shared" si="2"/>
        <v>66.644134123000043</v>
      </c>
      <c r="P11" s="2"/>
      <c r="Q11" s="9"/>
    </row>
    <row r="12" spans="1:17" ht="21" customHeight="1">
      <c r="A12" s="2"/>
      <c r="B12" s="376" t="s">
        <v>244</v>
      </c>
      <c r="C12" s="497">
        <v>0</v>
      </c>
      <c r="D12" s="497">
        <v>0</v>
      </c>
      <c r="E12" s="497">
        <v>0</v>
      </c>
      <c r="F12" s="497">
        <v>0</v>
      </c>
      <c r="G12" s="497">
        <v>0</v>
      </c>
      <c r="H12" s="497">
        <v>0</v>
      </c>
      <c r="I12" s="497"/>
      <c r="J12" s="497"/>
      <c r="K12" s="497"/>
      <c r="L12" s="497"/>
      <c r="M12" s="497"/>
      <c r="N12" s="497"/>
      <c r="O12" s="498">
        <f t="shared" si="2"/>
        <v>0</v>
      </c>
      <c r="P12" s="2"/>
      <c r="Q12" s="9"/>
    </row>
    <row r="13" spans="1:17" ht="21" customHeight="1">
      <c r="A13" s="2"/>
      <c r="B13" s="376" t="s">
        <v>245</v>
      </c>
      <c r="C13" s="497">
        <v>4.4501505000000003</v>
      </c>
      <c r="D13" s="497">
        <v>9.3483569800000001</v>
      </c>
      <c r="E13" s="497">
        <v>8.1759877999999997</v>
      </c>
      <c r="F13" s="497">
        <v>9.7569139199999988</v>
      </c>
      <c r="G13" s="497">
        <v>6.1452339699999996</v>
      </c>
      <c r="H13" s="497">
        <v>11.820976830000001</v>
      </c>
      <c r="I13" s="497"/>
      <c r="J13" s="497"/>
      <c r="K13" s="497"/>
      <c r="L13" s="497"/>
      <c r="M13" s="497"/>
      <c r="N13" s="497"/>
      <c r="O13" s="498">
        <f t="shared" si="2"/>
        <v>49.697619999999993</v>
      </c>
      <c r="P13" s="2"/>
      <c r="Q13" s="9"/>
    </row>
    <row r="14" spans="1:17" ht="24.95" customHeight="1">
      <c r="A14" s="2"/>
      <c r="B14" s="390" t="s">
        <v>246</v>
      </c>
      <c r="C14" s="494">
        <f>+C15+C21+C24</f>
        <v>547.78442792452915</v>
      </c>
      <c r="D14" s="494">
        <f t="shared" ref="D14:N14" si="3">+D15+D21+D24</f>
        <v>477.72044182350544</v>
      </c>
      <c r="E14" s="494">
        <f t="shared" si="3"/>
        <v>477.46129225999994</v>
      </c>
      <c r="F14" s="494">
        <f t="shared" si="3"/>
        <v>589.72172816827515</v>
      </c>
      <c r="G14" s="494">
        <f t="shared" si="3"/>
        <v>530.97695082795508</v>
      </c>
      <c r="H14" s="494">
        <f t="shared" si="3"/>
        <v>577.23108949847278</v>
      </c>
      <c r="I14" s="494">
        <f t="shared" si="3"/>
        <v>0</v>
      </c>
      <c r="J14" s="494">
        <f t="shared" si="3"/>
        <v>0</v>
      </c>
      <c r="K14" s="494">
        <f t="shared" si="3"/>
        <v>0</v>
      </c>
      <c r="L14" s="494">
        <f t="shared" si="3"/>
        <v>0</v>
      </c>
      <c r="M14" s="494">
        <f t="shared" si="3"/>
        <v>0</v>
      </c>
      <c r="N14" s="494">
        <f t="shared" si="3"/>
        <v>0</v>
      </c>
      <c r="O14" s="495">
        <f>SUM(C14:N14)</f>
        <v>3200.8959305027374</v>
      </c>
      <c r="P14" s="2"/>
      <c r="Q14" s="9"/>
    </row>
    <row r="15" spans="1:17" ht="21" customHeight="1">
      <c r="A15" s="2"/>
      <c r="B15" s="376" t="s">
        <v>247</v>
      </c>
      <c r="C15" s="497">
        <f>+C16+C19+C20</f>
        <v>500.79977642702909</v>
      </c>
      <c r="D15" s="497">
        <f t="shared" ref="D15:N15" si="4">+D16+D19+D20</f>
        <v>402.47743821600545</v>
      </c>
      <c r="E15" s="497">
        <f t="shared" si="4"/>
        <v>409.77162109249997</v>
      </c>
      <c r="F15" s="497">
        <f t="shared" si="4"/>
        <v>511.3443111107751</v>
      </c>
      <c r="G15" s="497">
        <f t="shared" si="4"/>
        <v>440.62095233045511</v>
      </c>
      <c r="H15" s="497">
        <f t="shared" si="4"/>
        <v>508.12478048097273</v>
      </c>
      <c r="I15" s="497">
        <f t="shared" si="4"/>
        <v>0</v>
      </c>
      <c r="J15" s="497">
        <f t="shared" si="4"/>
        <v>0</v>
      </c>
      <c r="K15" s="497">
        <f t="shared" si="4"/>
        <v>0</v>
      </c>
      <c r="L15" s="497">
        <f t="shared" si="4"/>
        <v>0</v>
      </c>
      <c r="M15" s="497">
        <f t="shared" si="4"/>
        <v>0</v>
      </c>
      <c r="N15" s="497">
        <f t="shared" si="4"/>
        <v>0</v>
      </c>
      <c r="O15" s="498">
        <f t="shared" ref="O15:O24" si="5">SUM(C15:N15)</f>
        <v>2773.1388796577376</v>
      </c>
      <c r="P15" s="2"/>
      <c r="Q15" s="9"/>
    </row>
    <row r="16" spans="1:17" ht="15.75">
      <c r="A16" s="2"/>
      <c r="B16" s="371" t="s">
        <v>321</v>
      </c>
      <c r="C16" s="497">
        <f>+C17+C18</f>
        <v>280.17658090250006</v>
      </c>
      <c r="D16" s="497">
        <f t="shared" ref="D16:N16" si="6">+D17+D18</f>
        <v>277.99301075250003</v>
      </c>
      <c r="E16" s="497">
        <f t="shared" si="6"/>
        <v>318.41141689249997</v>
      </c>
      <c r="F16" s="497">
        <f t="shared" si="6"/>
        <v>319.88796414687505</v>
      </c>
      <c r="G16" s="497">
        <f t="shared" si="6"/>
        <v>309.90508874045508</v>
      </c>
      <c r="H16" s="497">
        <f t="shared" si="6"/>
        <v>338.05474917220204</v>
      </c>
      <c r="I16" s="497">
        <f t="shared" si="6"/>
        <v>0</v>
      </c>
      <c r="J16" s="497">
        <f t="shared" si="6"/>
        <v>0</v>
      </c>
      <c r="K16" s="497">
        <f t="shared" si="6"/>
        <v>0</v>
      </c>
      <c r="L16" s="497">
        <f t="shared" si="6"/>
        <v>0</v>
      </c>
      <c r="M16" s="497">
        <f t="shared" si="6"/>
        <v>0</v>
      </c>
      <c r="N16" s="497">
        <f t="shared" si="6"/>
        <v>0</v>
      </c>
      <c r="O16" s="498">
        <f t="shared" si="5"/>
        <v>1844.4288106070321</v>
      </c>
      <c r="P16" s="2"/>
      <c r="Q16" s="9"/>
    </row>
    <row r="17" spans="1:18" ht="15.75">
      <c r="A17" s="2"/>
      <c r="B17" s="395" t="s">
        <v>322</v>
      </c>
      <c r="C17" s="497">
        <v>212.56892974175003</v>
      </c>
      <c r="D17" s="497">
        <v>203.91132162475003</v>
      </c>
      <c r="E17" s="497">
        <v>224.47659711074999</v>
      </c>
      <c r="F17" s="497">
        <v>210.59334906475002</v>
      </c>
      <c r="G17" s="497">
        <v>207.08596137074997</v>
      </c>
      <c r="H17" s="497">
        <v>256.43797941675001</v>
      </c>
      <c r="I17" s="497"/>
      <c r="J17" s="497"/>
      <c r="K17" s="497"/>
      <c r="L17" s="497"/>
      <c r="M17" s="497"/>
      <c r="N17" s="497"/>
      <c r="O17" s="498">
        <f t="shared" si="5"/>
        <v>1315.0741383295001</v>
      </c>
      <c r="P17" s="2"/>
      <c r="Q17" s="9"/>
    </row>
    <row r="18" spans="1:18" ht="15.75">
      <c r="A18" s="2"/>
      <c r="B18" s="395" t="s">
        <v>323</v>
      </c>
      <c r="C18" s="497">
        <v>67.607651160750009</v>
      </c>
      <c r="D18" s="497">
        <v>74.081689127749996</v>
      </c>
      <c r="E18" s="497">
        <v>93.934819781749994</v>
      </c>
      <c r="F18" s="497">
        <v>109.29461508212502</v>
      </c>
      <c r="G18" s="497">
        <v>102.8191273697051</v>
      </c>
      <c r="H18" s="497">
        <v>81.616769755451998</v>
      </c>
      <c r="I18" s="497"/>
      <c r="J18" s="497"/>
      <c r="K18" s="497"/>
      <c r="L18" s="497"/>
      <c r="M18" s="497"/>
      <c r="N18" s="497"/>
      <c r="O18" s="498">
        <f t="shared" si="5"/>
        <v>529.35467227753213</v>
      </c>
      <c r="P18" s="2"/>
      <c r="Q18" s="9"/>
    </row>
    <row r="19" spans="1:18" ht="15.75">
      <c r="A19" s="2"/>
      <c r="B19" s="371" t="s">
        <v>352</v>
      </c>
      <c r="C19" s="497">
        <v>163.04564164452904</v>
      </c>
      <c r="D19" s="497">
        <v>76.382482773505473</v>
      </c>
      <c r="E19" s="497">
        <v>31.25547388</v>
      </c>
      <c r="F19" s="497">
        <v>102.27423060490001</v>
      </c>
      <c r="G19" s="497">
        <v>33.761730129999997</v>
      </c>
      <c r="H19" s="497">
        <v>92.870546558770698</v>
      </c>
      <c r="I19" s="497"/>
      <c r="J19" s="497"/>
      <c r="K19" s="497"/>
      <c r="L19" s="497"/>
      <c r="M19" s="497"/>
      <c r="N19" s="497"/>
      <c r="O19" s="498">
        <f t="shared" si="5"/>
        <v>499.5901055917052</v>
      </c>
      <c r="P19" s="2"/>
      <c r="Q19" s="9"/>
    </row>
    <row r="20" spans="1:18" ht="15.75">
      <c r="A20" s="2"/>
      <c r="B20" s="371" t="s">
        <v>325</v>
      </c>
      <c r="C20" s="497">
        <v>57.577553879999996</v>
      </c>
      <c r="D20" s="497">
        <v>48.101944690000003</v>
      </c>
      <c r="E20" s="497">
        <v>60.104730319999994</v>
      </c>
      <c r="F20" s="497">
        <v>89.182116359000005</v>
      </c>
      <c r="G20" s="497">
        <v>96.954133460000008</v>
      </c>
      <c r="H20" s="497">
        <v>77.199484750000011</v>
      </c>
      <c r="I20" s="497"/>
      <c r="J20" s="497"/>
      <c r="K20" s="497"/>
      <c r="L20" s="497"/>
      <c r="M20" s="497"/>
      <c r="N20" s="497"/>
      <c r="O20" s="498">
        <f t="shared" si="5"/>
        <v>429.11996345900002</v>
      </c>
      <c r="P20" s="2"/>
      <c r="Q20" s="9"/>
    </row>
    <row r="21" spans="1:18" ht="21" customHeight="1">
      <c r="A21" s="2"/>
      <c r="B21" s="376" t="s">
        <v>259</v>
      </c>
      <c r="C21" s="497">
        <f>+C22+C23</f>
        <v>46.9904412275</v>
      </c>
      <c r="D21" s="497">
        <f t="shared" ref="D21:N21" si="7">+D22+D23</f>
        <v>75.249639407499998</v>
      </c>
      <c r="E21" s="497">
        <f t="shared" si="7"/>
        <v>67.689671167499995</v>
      </c>
      <c r="F21" s="497">
        <f t="shared" si="7"/>
        <v>78.377417057499997</v>
      </c>
      <c r="G21" s="497">
        <f t="shared" si="7"/>
        <v>90.355998497499996</v>
      </c>
      <c r="H21" s="497">
        <f t="shared" si="7"/>
        <v>69.106309017499996</v>
      </c>
      <c r="I21" s="497">
        <f t="shared" si="7"/>
        <v>0</v>
      </c>
      <c r="J21" s="497">
        <f t="shared" si="7"/>
        <v>0</v>
      </c>
      <c r="K21" s="497">
        <f t="shared" si="7"/>
        <v>0</v>
      </c>
      <c r="L21" s="497">
        <f t="shared" si="7"/>
        <v>0</v>
      </c>
      <c r="M21" s="497">
        <f t="shared" si="7"/>
        <v>0</v>
      </c>
      <c r="N21" s="497">
        <f t="shared" si="7"/>
        <v>0</v>
      </c>
      <c r="O21" s="498">
        <f>SUM(C21:N21)</f>
        <v>427.76947637500001</v>
      </c>
      <c r="P21" s="2"/>
      <c r="Q21" s="9"/>
    </row>
    <row r="22" spans="1:18" ht="15.75">
      <c r="A22" s="2"/>
      <c r="B22" s="371" t="s">
        <v>260</v>
      </c>
      <c r="C22" s="497">
        <v>46.200438077500003</v>
      </c>
      <c r="D22" s="497">
        <v>68.582255937499994</v>
      </c>
      <c r="E22" s="497">
        <v>63.012492977499996</v>
      </c>
      <c r="F22" s="497">
        <v>70.662849447499994</v>
      </c>
      <c r="G22" s="497">
        <v>80.598883987499988</v>
      </c>
      <c r="H22" s="497">
        <v>63.746970037499999</v>
      </c>
      <c r="I22" s="497"/>
      <c r="J22" s="497"/>
      <c r="K22" s="497"/>
      <c r="L22" s="497"/>
      <c r="M22" s="497"/>
      <c r="N22" s="497"/>
      <c r="O22" s="498">
        <f t="shared" si="5"/>
        <v>392.80389046499999</v>
      </c>
      <c r="P22" s="2"/>
      <c r="Q22" s="9"/>
    </row>
    <row r="23" spans="1:18" ht="15.75">
      <c r="A23" s="2"/>
      <c r="B23" s="371" t="s">
        <v>326</v>
      </c>
      <c r="C23" s="497">
        <v>0.79000314999999999</v>
      </c>
      <c r="D23" s="497">
        <v>6.6673834699999999</v>
      </c>
      <c r="E23" s="497">
        <v>4.6771781899999993</v>
      </c>
      <c r="F23" s="497">
        <v>7.7145676099999996</v>
      </c>
      <c r="G23" s="497">
        <v>9.757114510000001</v>
      </c>
      <c r="H23" s="497">
        <v>5.3593389799999995</v>
      </c>
      <c r="I23" s="497"/>
      <c r="J23" s="497"/>
      <c r="K23" s="497"/>
      <c r="L23" s="497"/>
      <c r="M23" s="497"/>
      <c r="N23" s="497"/>
      <c r="O23" s="498">
        <f t="shared" si="5"/>
        <v>34.965585909999994</v>
      </c>
      <c r="P23" s="2"/>
      <c r="Q23" s="9"/>
    </row>
    <row r="24" spans="1:18" ht="21" customHeight="1">
      <c r="A24" s="2"/>
      <c r="B24" s="376" t="s">
        <v>327</v>
      </c>
      <c r="C24" s="497">
        <v>-5.7897299999999999E-3</v>
      </c>
      <c r="D24" s="497">
        <v>-6.6357999999999999E-3</v>
      </c>
      <c r="E24" s="497">
        <v>0</v>
      </c>
      <c r="F24" s="497">
        <v>0</v>
      </c>
      <c r="G24" s="497">
        <v>0</v>
      </c>
      <c r="H24" s="497">
        <v>0</v>
      </c>
      <c r="I24" s="497"/>
      <c r="J24" s="497"/>
      <c r="K24" s="497"/>
      <c r="L24" s="497"/>
      <c r="M24" s="497"/>
      <c r="N24" s="497"/>
      <c r="O24" s="498">
        <f t="shared" si="5"/>
        <v>-1.2425530000000001E-2</v>
      </c>
      <c r="P24" s="2"/>
      <c r="Q24" s="9"/>
    </row>
    <row r="25" spans="1:18" ht="24.95" customHeight="1">
      <c r="A25" s="2"/>
      <c r="B25" s="390" t="s">
        <v>269</v>
      </c>
      <c r="C25" s="494">
        <f t="shared" ref="C25:N25" si="8">C8-C15</f>
        <v>34.46766305297092</v>
      </c>
      <c r="D25" s="494">
        <f t="shared" si="8"/>
        <v>44.749871567445894</v>
      </c>
      <c r="E25" s="494">
        <f t="shared" si="8"/>
        <v>47.756659287323146</v>
      </c>
      <c r="F25" s="494">
        <f t="shared" si="8"/>
        <v>369.95206907165999</v>
      </c>
      <c r="G25" s="494">
        <f t="shared" si="8"/>
        <v>27.974479673040719</v>
      </c>
      <c r="H25" s="494">
        <f t="shared" si="8"/>
        <v>-71.514041546646979</v>
      </c>
      <c r="I25" s="494">
        <f t="shared" si="8"/>
        <v>0</v>
      </c>
      <c r="J25" s="494">
        <f t="shared" si="8"/>
        <v>0</v>
      </c>
      <c r="K25" s="494">
        <f t="shared" si="8"/>
        <v>0</v>
      </c>
      <c r="L25" s="494">
        <f t="shared" si="8"/>
        <v>0</v>
      </c>
      <c r="M25" s="494">
        <f t="shared" si="8"/>
        <v>0</v>
      </c>
      <c r="N25" s="494">
        <f t="shared" si="8"/>
        <v>0</v>
      </c>
      <c r="O25" s="495">
        <f>SUM(C25:N25)</f>
        <v>453.38670110579363</v>
      </c>
      <c r="P25" s="2"/>
      <c r="Q25" s="9"/>
    </row>
    <row r="26" spans="1:18" ht="24.95" customHeight="1">
      <c r="A26" s="2"/>
      <c r="B26" s="396" t="s">
        <v>735</v>
      </c>
      <c r="C26" s="494"/>
      <c r="D26" s="494"/>
      <c r="E26" s="494"/>
      <c r="F26" s="494"/>
      <c r="G26" s="494"/>
      <c r="H26" s="494"/>
      <c r="I26" s="494"/>
      <c r="J26" s="494"/>
      <c r="K26" s="494"/>
      <c r="L26" s="494"/>
      <c r="M26" s="494"/>
      <c r="N26" s="494"/>
      <c r="O26" s="495"/>
      <c r="P26" s="2"/>
      <c r="Q26" s="9"/>
    </row>
    <row r="27" spans="1:18" ht="21" customHeight="1">
      <c r="A27" s="2"/>
      <c r="B27" s="399" t="s">
        <v>737</v>
      </c>
      <c r="C27" s="494">
        <f>C30+C19</f>
        <v>154.97880369999984</v>
      </c>
      <c r="D27" s="494">
        <f>D30+D19</f>
        <v>55.237707713451385</v>
      </c>
      <c r="E27" s="494">
        <f t="shared" ref="E27:N27" si="9">E30+E19</f>
        <v>19.498449799823153</v>
      </c>
      <c r="F27" s="494">
        <f t="shared" si="9"/>
        <v>403.60579653905995</v>
      </c>
      <c r="G27" s="494">
        <f t="shared" si="9"/>
        <v>-22.47455472445926</v>
      </c>
      <c r="H27" s="494">
        <f t="shared" si="9"/>
        <v>-35.928827175376327</v>
      </c>
      <c r="I27" s="494">
        <f t="shared" si="9"/>
        <v>0</v>
      </c>
      <c r="J27" s="494">
        <f t="shared" si="9"/>
        <v>0</v>
      </c>
      <c r="K27" s="494">
        <f t="shared" si="9"/>
        <v>0</v>
      </c>
      <c r="L27" s="494">
        <f t="shared" si="9"/>
        <v>0</v>
      </c>
      <c r="M27" s="494">
        <f t="shared" si="9"/>
        <v>0</v>
      </c>
      <c r="N27" s="494">
        <f t="shared" si="9"/>
        <v>0</v>
      </c>
      <c r="O27" s="495">
        <f t="shared" ref="O27:O28" si="10">SUM(C27:N27)</f>
        <v>574.91737585249871</v>
      </c>
      <c r="P27" s="2"/>
      <c r="Q27" s="9"/>
    </row>
    <row r="28" spans="1:18" ht="21" customHeight="1">
      <c r="A28" s="2"/>
      <c r="B28" s="399" t="s">
        <v>736</v>
      </c>
      <c r="C28" s="494">
        <f>C27-C49</f>
        <v>127.18860063999985</v>
      </c>
      <c r="D28" s="494">
        <f>D27-D49</f>
        <v>28.094821383451386</v>
      </c>
      <c r="E28" s="494">
        <f t="shared" ref="E28:N28" si="11">E27-E49</f>
        <v>-7.631510390176846</v>
      </c>
      <c r="F28" s="494">
        <f t="shared" si="11"/>
        <v>376.43238617905996</v>
      </c>
      <c r="G28" s="494">
        <f t="shared" si="11"/>
        <v>-49.517595024459261</v>
      </c>
      <c r="H28" s="494">
        <f t="shared" si="11"/>
        <v>-63.01783719537633</v>
      </c>
      <c r="I28" s="494">
        <f t="shared" si="11"/>
        <v>0</v>
      </c>
      <c r="J28" s="494">
        <f t="shared" si="11"/>
        <v>0</v>
      </c>
      <c r="K28" s="494">
        <f t="shared" si="11"/>
        <v>0</v>
      </c>
      <c r="L28" s="494">
        <f t="shared" si="11"/>
        <v>0</v>
      </c>
      <c r="M28" s="494">
        <f t="shared" si="11"/>
        <v>0</v>
      </c>
      <c r="N28" s="494">
        <f t="shared" si="11"/>
        <v>0</v>
      </c>
      <c r="O28" s="495">
        <f t="shared" si="10"/>
        <v>411.54886559249883</v>
      </c>
      <c r="P28" s="2"/>
      <c r="Q28" s="9"/>
    </row>
    <row r="29" spans="1:18" ht="24.95" customHeight="1">
      <c r="A29" s="2"/>
      <c r="B29" s="397" t="s">
        <v>328</v>
      </c>
      <c r="C29" s="497"/>
      <c r="D29" s="497"/>
      <c r="E29" s="497"/>
      <c r="F29" s="497"/>
      <c r="G29" s="497"/>
      <c r="H29" s="497"/>
      <c r="I29" s="497"/>
      <c r="J29" s="497"/>
      <c r="K29" s="497"/>
      <c r="L29" s="497"/>
      <c r="M29" s="497"/>
      <c r="N29" s="497"/>
      <c r="O29" s="495"/>
      <c r="P29" s="2"/>
      <c r="Q29" s="9"/>
    </row>
    <row r="30" spans="1:18" ht="21" customHeight="1">
      <c r="A30" s="2"/>
      <c r="B30" s="399" t="s">
        <v>329</v>
      </c>
      <c r="C30" s="494">
        <f t="shared" ref="C30:N30" si="12">C7-C14</f>
        <v>-8.0668379445291976</v>
      </c>
      <c r="D30" s="494">
        <f t="shared" si="12"/>
        <v>-21.144775060054087</v>
      </c>
      <c r="E30" s="494">
        <f t="shared" si="12"/>
        <v>-11.757024080176848</v>
      </c>
      <c r="F30" s="494">
        <f t="shared" si="12"/>
        <v>301.33156593415993</v>
      </c>
      <c r="G30" s="494">
        <f t="shared" si="12"/>
        <v>-56.236284854459257</v>
      </c>
      <c r="H30" s="494">
        <f t="shared" si="12"/>
        <v>-128.79937373414703</v>
      </c>
      <c r="I30" s="494">
        <f t="shared" si="12"/>
        <v>0</v>
      </c>
      <c r="J30" s="494">
        <f t="shared" si="12"/>
        <v>0</v>
      </c>
      <c r="K30" s="494">
        <f t="shared" si="12"/>
        <v>0</v>
      </c>
      <c r="L30" s="494">
        <f t="shared" si="12"/>
        <v>0</v>
      </c>
      <c r="M30" s="494">
        <f t="shared" si="12"/>
        <v>0</v>
      </c>
      <c r="N30" s="494">
        <f t="shared" si="12"/>
        <v>0</v>
      </c>
      <c r="O30" s="495">
        <f t="shared" ref="O30:O44" si="13">SUM(C30:N30)</f>
        <v>75.327270260793512</v>
      </c>
      <c r="P30" s="2"/>
      <c r="Q30" s="9"/>
    </row>
    <row r="31" spans="1:18" ht="21" customHeight="1">
      <c r="A31" s="2"/>
      <c r="B31" s="399" t="s">
        <v>330</v>
      </c>
      <c r="C31" s="494">
        <f t="shared" ref="C31:N31" si="14">C30-C13</f>
        <v>-12.516988444529197</v>
      </c>
      <c r="D31" s="494">
        <f t="shared" si="14"/>
        <v>-30.493132040054086</v>
      </c>
      <c r="E31" s="494">
        <f t="shared" si="14"/>
        <v>-19.933011880176849</v>
      </c>
      <c r="F31" s="494">
        <f t="shared" si="14"/>
        <v>291.57465201415994</v>
      </c>
      <c r="G31" s="494">
        <f t="shared" si="14"/>
        <v>-62.381518824459256</v>
      </c>
      <c r="H31" s="494">
        <f t="shared" si="14"/>
        <v>-140.62035056414703</v>
      </c>
      <c r="I31" s="494">
        <f t="shared" si="14"/>
        <v>0</v>
      </c>
      <c r="J31" s="494">
        <f t="shared" si="14"/>
        <v>0</v>
      </c>
      <c r="K31" s="494">
        <f t="shared" si="14"/>
        <v>0</v>
      </c>
      <c r="L31" s="494">
        <f t="shared" si="14"/>
        <v>0</v>
      </c>
      <c r="M31" s="494">
        <f t="shared" si="14"/>
        <v>0</v>
      </c>
      <c r="N31" s="494">
        <f t="shared" si="14"/>
        <v>0</v>
      </c>
      <c r="O31" s="495">
        <f t="shared" si="13"/>
        <v>25.629650260793539</v>
      </c>
      <c r="P31" s="2"/>
      <c r="Q31" s="9"/>
    </row>
    <row r="32" spans="1:18" ht="21" customHeight="1">
      <c r="A32" s="2"/>
      <c r="B32" s="399" t="s">
        <v>355</v>
      </c>
      <c r="C32" s="494">
        <f t="shared" ref="C32:N32" si="15">C30-C49</f>
        <v>-35.857041004529194</v>
      </c>
      <c r="D32" s="494">
        <f t="shared" si="15"/>
        <v>-48.287661390054083</v>
      </c>
      <c r="E32" s="494">
        <f t="shared" si="15"/>
        <v>-38.886984270176846</v>
      </c>
      <c r="F32" s="494">
        <f t="shared" si="15"/>
        <v>274.15815557415993</v>
      </c>
      <c r="G32" s="494">
        <f t="shared" si="15"/>
        <v>-83.279325154459258</v>
      </c>
      <c r="H32" s="494">
        <f t="shared" si="15"/>
        <v>-155.88838375414701</v>
      </c>
      <c r="I32" s="494">
        <f t="shared" si="15"/>
        <v>0</v>
      </c>
      <c r="J32" s="494">
        <f t="shared" si="15"/>
        <v>0</v>
      </c>
      <c r="K32" s="494">
        <f t="shared" si="15"/>
        <v>0</v>
      </c>
      <c r="L32" s="494">
        <f t="shared" si="15"/>
        <v>0</v>
      </c>
      <c r="M32" s="494">
        <f t="shared" si="15"/>
        <v>0</v>
      </c>
      <c r="N32" s="494">
        <f t="shared" si="15"/>
        <v>0</v>
      </c>
      <c r="O32" s="495">
        <f t="shared" si="13"/>
        <v>-88.041239999206454</v>
      </c>
      <c r="P32" s="2"/>
      <c r="Q32" s="9"/>
      <c r="R32" s="23">
        <f>+O32+O19</f>
        <v>411.54886559249871</v>
      </c>
    </row>
    <row r="33" spans="1:17" ht="24.95" customHeight="1">
      <c r="A33" s="2"/>
      <c r="B33" s="390" t="s">
        <v>332</v>
      </c>
      <c r="C33" s="494">
        <f>SUM(C34:C35)</f>
        <v>-8.0623249299999991</v>
      </c>
      <c r="D33" s="494">
        <f t="shared" ref="D33:N33" si="16">SUM(D34:D35)</f>
        <v>-26.078403889999997</v>
      </c>
      <c r="E33" s="494">
        <f t="shared" si="16"/>
        <v>-18.32146749</v>
      </c>
      <c r="F33" s="494">
        <f t="shared" si="16"/>
        <v>-23.648764459999999</v>
      </c>
      <c r="G33" s="494">
        <f t="shared" si="16"/>
        <v>-8.3958190299999984</v>
      </c>
      <c r="H33" s="494">
        <f t="shared" si="16"/>
        <v>-20.883475969999999</v>
      </c>
      <c r="I33" s="494">
        <f t="shared" si="16"/>
        <v>0</v>
      </c>
      <c r="J33" s="494">
        <f t="shared" si="16"/>
        <v>0</v>
      </c>
      <c r="K33" s="494">
        <f t="shared" si="16"/>
        <v>0</v>
      </c>
      <c r="L33" s="494">
        <f t="shared" si="16"/>
        <v>0</v>
      </c>
      <c r="M33" s="494">
        <f t="shared" si="16"/>
        <v>0</v>
      </c>
      <c r="N33" s="494">
        <f t="shared" si="16"/>
        <v>0</v>
      </c>
      <c r="O33" s="495">
        <f t="shared" si="13"/>
        <v>-105.39025576999998</v>
      </c>
      <c r="P33" s="2"/>
      <c r="Q33" s="9"/>
    </row>
    <row r="34" spans="1:17" ht="15.75">
      <c r="A34" s="2"/>
      <c r="B34" s="376" t="s">
        <v>276</v>
      </c>
      <c r="C34" s="497">
        <v>5.4822696400000002</v>
      </c>
      <c r="D34" s="497">
        <v>21.154489430000005</v>
      </c>
      <c r="E34" s="497">
        <v>0.195217</v>
      </c>
      <c r="F34" s="497">
        <v>3.1571477100000007</v>
      </c>
      <c r="G34" s="497">
        <v>12.73414464</v>
      </c>
      <c r="H34" s="497">
        <v>7.0405803999999996</v>
      </c>
      <c r="I34" s="497"/>
      <c r="J34" s="497"/>
      <c r="K34" s="497"/>
      <c r="L34" s="497"/>
      <c r="M34" s="497"/>
      <c r="N34" s="497"/>
      <c r="O34" s="498">
        <f t="shared" si="13"/>
        <v>49.763848820000007</v>
      </c>
      <c r="P34" s="2"/>
      <c r="Q34" s="9"/>
    </row>
    <row r="35" spans="1:17" ht="15.75">
      <c r="A35" s="2"/>
      <c r="B35" s="376" t="s">
        <v>277</v>
      </c>
      <c r="C35" s="497">
        <v>-13.544594569999999</v>
      </c>
      <c r="D35" s="497">
        <v>-47.232893320000002</v>
      </c>
      <c r="E35" s="497">
        <v>-18.516684489999999</v>
      </c>
      <c r="F35" s="497">
        <v>-26.805912169999999</v>
      </c>
      <c r="G35" s="497">
        <v>-21.129963669999999</v>
      </c>
      <c r="H35" s="497">
        <v>-27.924056369999999</v>
      </c>
      <c r="I35" s="497"/>
      <c r="J35" s="497"/>
      <c r="K35" s="497"/>
      <c r="L35" s="497"/>
      <c r="M35" s="497"/>
      <c r="N35" s="497"/>
      <c r="O35" s="498">
        <f t="shared" si="13"/>
        <v>-155.15410459</v>
      </c>
      <c r="P35" s="2"/>
      <c r="Q35" s="9"/>
    </row>
    <row r="36" spans="1:17" ht="24.95" customHeight="1">
      <c r="A36" s="2"/>
      <c r="B36" s="390" t="s">
        <v>333</v>
      </c>
      <c r="C36" s="494">
        <f>SUM(C37:C43)</f>
        <v>16.129162874529197</v>
      </c>
      <c r="D36" s="494">
        <f t="shared" ref="D36:N36" si="17">SUM(D37:D43)</f>
        <v>47.223178950054077</v>
      </c>
      <c r="E36" s="494">
        <f t="shared" si="17"/>
        <v>30.07849157017683</v>
      </c>
      <c r="F36" s="494">
        <f t="shared" si="17"/>
        <v>-277.68280147415987</v>
      </c>
      <c r="G36" s="494">
        <f t="shared" si="17"/>
        <v>64.632103884459269</v>
      </c>
      <c r="H36" s="494">
        <f t="shared" si="17"/>
        <v>149.682849704147</v>
      </c>
      <c r="I36" s="494">
        <f t="shared" si="17"/>
        <v>0</v>
      </c>
      <c r="J36" s="494">
        <f t="shared" si="17"/>
        <v>0</v>
      </c>
      <c r="K36" s="494">
        <f t="shared" si="17"/>
        <v>0</v>
      </c>
      <c r="L36" s="494">
        <f t="shared" si="17"/>
        <v>0</v>
      </c>
      <c r="M36" s="494">
        <f t="shared" si="17"/>
        <v>0</v>
      </c>
      <c r="N36" s="494">
        <f t="shared" si="17"/>
        <v>0</v>
      </c>
      <c r="O36" s="495">
        <f t="shared" si="13"/>
        <v>30.062985509206499</v>
      </c>
      <c r="P36" s="2"/>
      <c r="Q36" s="9"/>
    </row>
    <row r="37" spans="1:17" ht="15.75">
      <c r="A37" s="2"/>
      <c r="B37" s="376" t="s">
        <v>279</v>
      </c>
      <c r="C37" s="497">
        <v>-6.4840000000000089</v>
      </c>
      <c r="D37" s="497">
        <v>-11.44</v>
      </c>
      <c r="E37" s="497">
        <v>-110.319</v>
      </c>
      <c r="F37" s="497">
        <v>90.264999999999986</v>
      </c>
      <c r="G37" s="497">
        <v>-186.87800000000001</v>
      </c>
      <c r="H37" s="497">
        <v>20.843000000000004</v>
      </c>
      <c r="I37" s="497"/>
      <c r="J37" s="497"/>
      <c r="K37" s="497"/>
      <c r="L37" s="497"/>
      <c r="M37" s="497"/>
      <c r="N37" s="497"/>
      <c r="O37" s="498">
        <f t="shared" si="13"/>
        <v>-204.01300000000003</v>
      </c>
      <c r="P37" s="2"/>
      <c r="Q37" s="9"/>
    </row>
    <row r="38" spans="1:17" ht="15.75">
      <c r="A38" s="2"/>
      <c r="B38" s="376" t="s">
        <v>282</v>
      </c>
      <c r="C38" s="497">
        <v>14.401156230000037</v>
      </c>
      <c r="D38" s="497">
        <v>20.737059659999911</v>
      </c>
      <c r="E38" s="497">
        <v>10.73586208</v>
      </c>
      <c r="F38" s="497">
        <v>-381.77427740000002</v>
      </c>
      <c r="G38" s="497">
        <v>277.14071228999995</v>
      </c>
      <c r="H38" s="497">
        <v>78.055465930000025</v>
      </c>
      <c r="I38" s="497"/>
      <c r="J38" s="497"/>
      <c r="K38" s="497"/>
      <c r="L38" s="497"/>
      <c r="M38" s="497"/>
      <c r="N38" s="497"/>
      <c r="O38" s="498">
        <f t="shared" si="13"/>
        <v>19.295978789999936</v>
      </c>
      <c r="P38" s="2"/>
      <c r="Q38" s="9"/>
    </row>
    <row r="39" spans="1:17" ht="15.75">
      <c r="A39" s="2"/>
      <c r="B39" s="376" t="s">
        <v>283</v>
      </c>
      <c r="C39" s="497">
        <v>0</v>
      </c>
      <c r="D39" s="497">
        <v>0</v>
      </c>
      <c r="E39" s="497">
        <v>0</v>
      </c>
      <c r="F39" s="497">
        <v>0</v>
      </c>
      <c r="G39" s="497">
        <v>0</v>
      </c>
      <c r="H39" s="497">
        <v>0</v>
      </c>
      <c r="I39" s="497"/>
      <c r="J39" s="497"/>
      <c r="K39" s="497"/>
      <c r="L39" s="497"/>
      <c r="M39" s="497"/>
      <c r="N39" s="497"/>
      <c r="O39" s="498">
        <f t="shared" si="13"/>
        <v>0</v>
      </c>
      <c r="P39" s="2"/>
      <c r="Q39" s="9"/>
    </row>
    <row r="40" spans="1:17" ht="15.75">
      <c r="A40" s="2"/>
      <c r="B40" s="376" t="s">
        <v>284</v>
      </c>
      <c r="C40" s="497">
        <v>23.307857700000003</v>
      </c>
      <c r="D40" s="497">
        <v>42.370436730000002</v>
      </c>
      <c r="E40" s="497">
        <v>194.23225287999998</v>
      </c>
      <c r="F40" s="497">
        <v>30.350128060000003</v>
      </c>
      <c r="G40" s="497">
        <v>-19.200777179999999</v>
      </c>
      <c r="H40" s="497">
        <v>51.69037445</v>
      </c>
      <c r="I40" s="497"/>
      <c r="J40" s="497"/>
      <c r="K40" s="497"/>
      <c r="L40" s="497"/>
      <c r="M40" s="497"/>
      <c r="N40" s="497"/>
      <c r="O40" s="498">
        <f t="shared" si="13"/>
        <v>322.75027263999993</v>
      </c>
      <c r="P40" s="2"/>
      <c r="Q40" s="9"/>
    </row>
    <row r="41" spans="1:17" ht="15.75">
      <c r="A41" s="2"/>
      <c r="B41" s="376" t="s">
        <v>334</v>
      </c>
      <c r="C41" s="497">
        <v>0</v>
      </c>
      <c r="D41" s="497">
        <v>0</v>
      </c>
      <c r="E41" s="497">
        <v>0</v>
      </c>
      <c r="F41" s="497">
        <v>0</v>
      </c>
      <c r="G41" s="497">
        <v>0</v>
      </c>
      <c r="H41" s="497">
        <v>0</v>
      </c>
      <c r="I41" s="497"/>
      <c r="J41" s="497"/>
      <c r="K41" s="497"/>
      <c r="L41" s="497"/>
      <c r="M41" s="497"/>
      <c r="N41" s="497"/>
      <c r="O41" s="498">
        <f t="shared" si="13"/>
        <v>0</v>
      </c>
      <c r="P41" s="2"/>
      <c r="Q41" s="9"/>
    </row>
    <row r="42" spans="1:17" ht="15.75">
      <c r="A42" s="2"/>
      <c r="B42" s="376" t="s">
        <v>335</v>
      </c>
      <c r="C42" s="497">
        <v>-27.79020306</v>
      </c>
      <c r="D42" s="497">
        <v>-27.14288633</v>
      </c>
      <c r="E42" s="497">
        <v>-27.129960189999998</v>
      </c>
      <c r="F42" s="497">
        <v>-27.173410359999998</v>
      </c>
      <c r="G42" s="497">
        <v>-27.043040300000001</v>
      </c>
      <c r="H42" s="497">
        <v>-27.08901002</v>
      </c>
      <c r="I42" s="497"/>
      <c r="J42" s="497"/>
      <c r="K42" s="497"/>
      <c r="L42" s="497"/>
      <c r="M42" s="497"/>
      <c r="N42" s="497"/>
      <c r="O42" s="498">
        <f t="shared" si="13"/>
        <v>-163.36851025999999</v>
      </c>
      <c r="P42" s="2"/>
      <c r="Q42" s="9"/>
    </row>
    <row r="43" spans="1:17" ht="15.75">
      <c r="A43" s="2"/>
      <c r="B43" s="376" t="s">
        <v>336</v>
      </c>
      <c r="C43" s="497">
        <v>12.694352004529165</v>
      </c>
      <c r="D43" s="497">
        <v>22.698568890054169</v>
      </c>
      <c r="E43" s="497">
        <v>-37.440663199823142</v>
      </c>
      <c r="F43" s="497">
        <v>10.649758225840117</v>
      </c>
      <c r="G43" s="497">
        <v>20.613209074459334</v>
      </c>
      <c r="H43" s="497">
        <v>26.183019344146985</v>
      </c>
      <c r="I43" s="497"/>
      <c r="J43" s="497"/>
      <c r="K43" s="497"/>
      <c r="L43" s="497"/>
      <c r="M43" s="497"/>
      <c r="N43" s="497"/>
      <c r="O43" s="498">
        <f t="shared" si="13"/>
        <v>55.398244339206627</v>
      </c>
      <c r="P43" s="2"/>
      <c r="Q43" s="9"/>
    </row>
    <row r="44" spans="1:17" ht="24.95" customHeight="1" thickBot="1">
      <c r="A44" s="2"/>
      <c r="B44" s="377" t="s">
        <v>337</v>
      </c>
      <c r="C44" s="499">
        <f t="shared" ref="C44:N44" si="18">-C30-C33-C36</f>
        <v>0</v>
      </c>
      <c r="D44" s="499">
        <f t="shared" si="18"/>
        <v>0</v>
      </c>
      <c r="E44" s="499">
        <f t="shared" si="18"/>
        <v>0</v>
      </c>
      <c r="F44" s="499">
        <f t="shared" si="18"/>
        <v>0</v>
      </c>
      <c r="G44" s="499">
        <f t="shared" si="18"/>
        <v>0</v>
      </c>
      <c r="H44" s="499">
        <f t="shared" si="18"/>
        <v>0</v>
      </c>
      <c r="I44" s="499">
        <f t="shared" si="18"/>
        <v>0</v>
      </c>
      <c r="J44" s="499">
        <f t="shared" si="18"/>
        <v>0</v>
      </c>
      <c r="K44" s="499">
        <f t="shared" si="18"/>
        <v>0</v>
      </c>
      <c r="L44" s="499">
        <f t="shared" si="18"/>
        <v>0</v>
      </c>
      <c r="M44" s="499">
        <f t="shared" si="18"/>
        <v>0</v>
      </c>
      <c r="N44" s="499">
        <f t="shared" si="18"/>
        <v>0</v>
      </c>
      <c r="O44" s="500">
        <f t="shared" si="13"/>
        <v>0</v>
      </c>
      <c r="P44" s="2"/>
      <c r="Q44" s="9"/>
    </row>
    <row r="45" spans="1:17" ht="15.75">
      <c r="A45" s="2"/>
      <c r="B45" s="48" t="s">
        <v>338</v>
      </c>
      <c r="C45" s="354"/>
      <c r="D45" s="354"/>
      <c r="E45" s="354"/>
      <c r="F45" s="354"/>
      <c r="G45" s="354"/>
      <c r="H45" s="354"/>
      <c r="I45" s="354"/>
      <c r="J45" s="354"/>
      <c r="K45" s="354"/>
      <c r="L45" s="354"/>
      <c r="M45" s="354"/>
      <c r="N45" s="354"/>
      <c r="O45" s="2"/>
      <c r="P45" s="2"/>
      <c r="Q45" s="9"/>
    </row>
    <row r="46" spans="1:17" ht="15.75">
      <c r="A46" s="2"/>
      <c r="B46" s="48" t="s">
        <v>621</v>
      </c>
      <c r="C46" s="354"/>
      <c r="D46" s="354"/>
      <c r="E46" s="354"/>
      <c r="F46" s="354"/>
      <c r="G46" s="354"/>
      <c r="H46" s="354"/>
      <c r="I46" s="354"/>
      <c r="J46" s="354"/>
      <c r="K46" s="354"/>
      <c r="L46" s="354"/>
      <c r="M46" s="354"/>
      <c r="N46" s="354"/>
      <c r="O46" s="2"/>
      <c r="P46" s="2"/>
      <c r="Q46" s="9"/>
    </row>
    <row r="47" spans="1:17">
      <c r="A47" s="2"/>
      <c r="B47" s="329"/>
      <c r="C47" s="2"/>
      <c r="D47" s="2"/>
      <c r="E47" s="2"/>
      <c r="F47" s="2"/>
      <c r="G47" s="2"/>
      <c r="H47" s="2"/>
      <c r="I47" s="2"/>
      <c r="J47" s="2"/>
      <c r="K47" s="2"/>
      <c r="L47" s="2"/>
      <c r="M47" s="2"/>
      <c r="N47" s="2"/>
      <c r="O47" s="2"/>
      <c r="P47" s="2"/>
      <c r="Q47" s="9"/>
    </row>
    <row r="48" spans="1:17" ht="16.5" thickBot="1">
      <c r="A48" s="2"/>
      <c r="B48" s="353" t="s">
        <v>340</v>
      </c>
      <c r="C48" s="2"/>
      <c r="D48" s="2"/>
      <c r="E48" s="2"/>
      <c r="F48" s="2"/>
      <c r="G48" s="2"/>
      <c r="H48" s="2"/>
      <c r="I48" s="2"/>
      <c r="J48" s="2"/>
      <c r="K48" s="2"/>
      <c r="L48" s="2"/>
      <c r="M48" s="2"/>
      <c r="N48" s="2"/>
      <c r="O48" s="2"/>
      <c r="P48" s="2"/>
      <c r="Q48" s="9"/>
    </row>
    <row r="49" spans="1:17" ht="24.95" customHeight="1" thickBot="1">
      <c r="A49" s="2"/>
      <c r="B49" s="407" t="s">
        <v>357</v>
      </c>
      <c r="C49" s="501">
        <v>27.79020306</v>
      </c>
      <c r="D49" s="502">
        <v>27.14288633</v>
      </c>
      <c r="E49" s="502">
        <v>27.129960189999998</v>
      </c>
      <c r="F49" s="502">
        <v>27.173410359999998</v>
      </c>
      <c r="G49" s="502">
        <v>27.043040300000001</v>
      </c>
      <c r="H49" s="502">
        <v>27.08901002</v>
      </c>
      <c r="I49" s="502"/>
      <c r="J49" s="502"/>
      <c r="K49" s="502"/>
      <c r="L49" s="502"/>
      <c r="M49" s="502"/>
      <c r="N49" s="503"/>
      <c r="O49" s="504">
        <f>SUM(C49:N49)</f>
        <v>163.36851025999999</v>
      </c>
      <c r="P49" s="2"/>
      <c r="Q49" s="9"/>
    </row>
    <row r="50" spans="1:17" ht="15.75">
      <c r="B50" s="353" t="s">
        <v>18</v>
      </c>
      <c r="C50" s="2"/>
      <c r="D50" s="2"/>
      <c r="E50" s="2"/>
      <c r="F50" s="2"/>
      <c r="G50" s="2"/>
      <c r="H50" s="2"/>
      <c r="I50" s="2"/>
      <c r="J50" s="2"/>
      <c r="K50" s="2"/>
      <c r="L50" s="2"/>
      <c r="M50" s="2"/>
      <c r="N50" s="2"/>
      <c r="O50" s="2"/>
      <c r="Q50" s="9"/>
    </row>
    <row r="51" spans="1:17" ht="15.75">
      <c r="B51" s="353" t="s">
        <v>779</v>
      </c>
      <c r="C51" s="2"/>
      <c r="D51" s="2"/>
      <c r="E51" s="2"/>
      <c r="F51" s="2"/>
      <c r="G51" s="2"/>
      <c r="H51" s="2"/>
      <c r="I51" s="2"/>
      <c r="J51" s="2"/>
      <c r="K51" s="2"/>
      <c r="L51" s="2"/>
      <c r="M51" s="2"/>
      <c r="N51" s="2"/>
      <c r="O51" s="2"/>
      <c r="Q51" s="9"/>
    </row>
    <row r="52" spans="1:17" ht="15.75">
      <c r="B52" s="353" t="s">
        <v>55</v>
      </c>
      <c r="C52" s="2"/>
      <c r="D52" s="2"/>
      <c r="E52" s="2"/>
      <c r="F52" s="2"/>
      <c r="G52" s="2"/>
      <c r="H52" s="2"/>
      <c r="I52" s="2"/>
      <c r="J52" s="2"/>
      <c r="K52" s="2"/>
      <c r="L52" s="2"/>
      <c r="M52" s="2"/>
      <c r="N52" s="2"/>
      <c r="O52" s="2"/>
      <c r="Q52" s="9"/>
    </row>
    <row r="53" spans="1:17" ht="15.75" thickBot="1">
      <c r="B53" s="2"/>
      <c r="C53" s="2"/>
      <c r="D53" s="2"/>
      <c r="E53" s="2"/>
      <c r="F53" s="2"/>
      <c r="G53" s="2"/>
      <c r="H53" s="2"/>
      <c r="I53" s="2"/>
      <c r="J53" s="2"/>
      <c r="K53" s="2"/>
      <c r="L53" s="2"/>
      <c r="M53" s="2"/>
      <c r="N53" s="2"/>
      <c r="O53" s="2"/>
      <c r="Q53" s="9"/>
    </row>
    <row r="54" spans="1:17"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778</v>
      </c>
      <c r="Q54" s="9"/>
    </row>
    <row r="55" spans="1:17" ht="15.75">
      <c r="B55" s="358"/>
      <c r="C55" s="359"/>
      <c r="D55" s="359"/>
      <c r="E55" s="359"/>
      <c r="F55" s="359"/>
      <c r="G55" s="359"/>
      <c r="H55" s="359"/>
      <c r="I55" s="359"/>
      <c r="J55" s="359"/>
      <c r="K55" s="359"/>
      <c r="L55" s="359"/>
      <c r="M55" s="359"/>
      <c r="N55" s="359"/>
      <c r="O55" s="360"/>
      <c r="Q55" s="9"/>
    </row>
    <row r="56" spans="1:17" ht="24.95" customHeight="1">
      <c r="B56" s="390" t="s">
        <v>239</v>
      </c>
      <c r="C56" s="391">
        <f t="shared" ref="C56:O71" si="19">C7/$O$93</f>
        <v>2.0105182400250325E-2</v>
      </c>
      <c r="D56" s="391">
        <f t="shared" si="19"/>
        <v>1.7008037592651487E-2</v>
      </c>
      <c r="E56" s="391">
        <f t="shared" si="19"/>
        <v>1.734808987173718E-2</v>
      </c>
      <c r="F56" s="391">
        <f t="shared" si="19"/>
        <v>3.3192894467154968E-2</v>
      </c>
      <c r="G56" s="391">
        <f t="shared" si="19"/>
        <v>1.7684707445920267E-2</v>
      </c>
      <c r="H56" s="391">
        <f t="shared" si="19"/>
        <v>1.6704664822640065E-2</v>
      </c>
      <c r="I56" s="391">
        <f t="shared" si="19"/>
        <v>0</v>
      </c>
      <c r="J56" s="391">
        <f t="shared" si="19"/>
        <v>0</v>
      </c>
      <c r="K56" s="391">
        <f t="shared" si="19"/>
        <v>0</v>
      </c>
      <c r="L56" s="391">
        <f t="shared" si="19"/>
        <v>0</v>
      </c>
      <c r="M56" s="391">
        <f t="shared" si="19"/>
        <v>0</v>
      </c>
      <c r="N56" s="391">
        <f t="shared" si="19"/>
        <v>0</v>
      </c>
      <c r="O56" s="392">
        <f t="shared" si="19"/>
        <v>0.12204357660035429</v>
      </c>
      <c r="Q56" s="9"/>
    </row>
    <row r="57" spans="1:17" ht="21" customHeight="1">
      <c r="B57" s="376" t="s">
        <v>240</v>
      </c>
      <c r="C57" s="393">
        <f t="shared" si="19"/>
        <v>1.9939408504472018E-2</v>
      </c>
      <c r="D57" s="393">
        <f t="shared" si="19"/>
        <v>1.665979913291828E-2</v>
      </c>
      <c r="E57" s="393">
        <f t="shared" si="19"/>
        <v>1.7043523689213257E-2</v>
      </c>
      <c r="F57" s="393">
        <f t="shared" si="19"/>
        <v>3.2829436729873498E-2</v>
      </c>
      <c r="G57" s="393">
        <f t="shared" si="19"/>
        <v>1.7455789485578004E-2</v>
      </c>
      <c r="H57" s="393">
        <f t="shared" si="19"/>
        <v>1.626431805661176E-2</v>
      </c>
      <c r="I57" s="393">
        <f t="shared" si="19"/>
        <v>0</v>
      </c>
      <c r="J57" s="393">
        <f t="shared" si="19"/>
        <v>0</v>
      </c>
      <c r="K57" s="393">
        <f t="shared" si="19"/>
        <v>0</v>
      </c>
      <c r="L57" s="393">
        <f t="shared" si="19"/>
        <v>0</v>
      </c>
      <c r="M57" s="393">
        <f t="shared" si="19"/>
        <v>0</v>
      </c>
      <c r="N57" s="393">
        <f t="shared" si="19"/>
        <v>0</v>
      </c>
      <c r="O57" s="394">
        <f t="shared" si="19"/>
        <v>0.1201922755986668</v>
      </c>
      <c r="Q57" s="9"/>
    </row>
    <row r="58" spans="1:17" ht="18.75">
      <c r="B58" s="371" t="s">
        <v>351</v>
      </c>
      <c r="C58" s="393">
        <f t="shared" si="19"/>
        <v>1.6852824817189242E-2</v>
      </c>
      <c r="D58" s="393">
        <f t="shared" si="19"/>
        <v>1.3004075162322543E-2</v>
      </c>
      <c r="E58" s="393">
        <f t="shared" si="19"/>
        <v>1.3729703154440172E-2</v>
      </c>
      <c r="F58" s="393">
        <f t="shared" si="19"/>
        <v>2.9897954994095668E-2</v>
      </c>
      <c r="G58" s="393">
        <f t="shared" si="19"/>
        <v>1.3629381036107689E-2</v>
      </c>
      <c r="H58" s="393">
        <f t="shared" si="19"/>
        <v>1.3290698350139876E-2</v>
      </c>
      <c r="I58" s="393">
        <f t="shared" si="19"/>
        <v>0</v>
      </c>
      <c r="J58" s="393">
        <f t="shared" si="19"/>
        <v>0</v>
      </c>
      <c r="K58" s="393">
        <f t="shared" si="19"/>
        <v>0</v>
      </c>
      <c r="L58" s="393">
        <f t="shared" si="19"/>
        <v>0</v>
      </c>
      <c r="M58" s="393">
        <f t="shared" si="19"/>
        <v>0</v>
      </c>
      <c r="N58" s="393">
        <f t="shared" si="19"/>
        <v>0</v>
      </c>
      <c r="O58" s="394">
        <f t="shared" si="19"/>
        <v>0.10040463751429519</v>
      </c>
      <c r="Q58" s="9"/>
    </row>
    <row r="59" spans="1:17" ht="15.75">
      <c r="B59" s="371" t="s">
        <v>317</v>
      </c>
      <c r="C59" s="393">
        <f t="shared" si="19"/>
        <v>2.7210275262620851E-3</v>
      </c>
      <c r="D59" s="393">
        <f t="shared" si="19"/>
        <v>3.2227488441201498E-3</v>
      </c>
      <c r="E59" s="393">
        <f t="shared" si="19"/>
        <v>2.8568865316470735E-3</v>
      </c>
      <c r="F59" s="393">
        <f t="shared" si="19"/>
        <v>2.503770433269882E-3</v>
      </c>
      <c r="G59" s="393">
        <f t="shared" si="19"/>
        <v>3.468213512879769E-3</v>
      </c>
      <c r="H59" s="393">
        <f t="shared" si="19"/>
        <v>2.5324105359799598E-3</v>
      </c>
      <c r="I59" s="393">
        <f t="shared" si="19"/>
        <v>0</v>
      </c>
      <c r="J59" s="393">
        <f t="shared" si="19"/>
        <v>0</v>
      </c>
      <c r="K59" s="393">
        <f t="shared" si="19"/>
        <v>0</v>
      </c>
      <c r="L59" s="393">
        <f t="shared" si="19"/>
        <v>0</v>
      </c>
      <c r="M59" s="393">
        <f t="shared" si="19"/>
        <v>0</v>
      </c>
      <c r="N59" s="393">
        <f t="shared" si="19"/>
        <v>0</v>
      </c>
      <c r="O59" s="394">
        <f t="shared" si="19"/>
        <v>1.7305057384158919E-2</v>
      </c>
      <c r="Q59" s="9"/>
    </row>
    <row r="60" spans="1:17" ht="15.75">
      <c r="B60" s="371" t="s">
        <v>318</v>
      </c>
      <c r="C60" s="393">
        <f t="shared" si="19"/>
        <v>3.655561610206931E-4</v>
      </c>
      <c r="D60" s="393">
        <f t="shared" si="19"/>
        <v>4.3297512647558494E-4</v>
      </c>
      <c r="E60" s="393">
        <f t="shared" si="19"/>
        <v>4.5693400312601018E-4</v>
      </c>
      <c r="F60" s="393">
        <f t="shared" si="19"/>
        <v>4.2771130250794805E-4</v>
      </c>
      <c r="G60" s="393">
        <f t="shared" si="19"/>
        <v>3.5819493659054518E-4</v>
      </c>
      <c r="H60" s="393">
        <f t="shared" si="19"/>
        <v>4.4120917049192523E-4</v>
      </c>
      <c r="I60" s="393">
        <f t="shared" si="19"/>
        <v>0</v>
      </c>
      <c r="J60" s="393">
        <f t="shared" si="19"/>
        <v>0</v>
      </c>
      <c r="K60" s="393">
        <f t="shared" si="19"/>
        <v>0</v>
      </c>
      <c r="L60" s="393">
        <f t="shared" si="19"/>
        <v>0</v>
      </c>
      <c r="M60" s="393">
        <f t="shared" si="19"/>
        <v>0</v>
      </c>
      <c r="N60" s="393">
        <f t="shared" si="19"/>
        <v>0</v>
      </c>
      <c r="O60" s="394">
        <f t="shared" si="19"/>
        <v>2.4825807002127067E-3</v>
      </c>
      <c r="Q60" s="9"/>
    </row>
    <row r="61" spans="1:17" ht="21" customHeight="1">
      <c r="B61" s="376" t="s">
        <v>244</v>
      </c>
      <c r="C61" s="393">
        <f t="shared" si="19"/>
        <v>0</v>
      </c>
      <c r="D61" s="393">
        <f t="shared" si="19"/>
        <v>0</v>
      </c>
      <c r="E61" s="393">
        <f t="shared" si="19"/>
        <v>0</v>
      </c>
      <c r="F61" s="393">
        <f t="shared" si="19"/>
        <v>0</v>
      </c>
      <c r="G61" s="393">
        <f t="shared" si="19"/>
        <v>0</v>
      </c>
      <c r="H61" s="393">
        <f t="shared" si="19"/>
        <v>0</v>
      </c>
      <c r="I61" s="393">
        <f t="shared" si="19"/>
        <v>0</v>
      </c>
      <c r="J61" s="393">
        <f t="shared" si="19"/>
        <v>0</v>
      </c>
      <c r="K61" s="393">
        <f t="shared" si="19"/>
        <v>0</v>
      </c>
      <c r="L61" s="393">
        <f t="shared" si="19"/>
        <v>0</v>
      </c>
      <c r="M61" s="393">
        <f t="shared" si="19"/>
        <v>0</v>
      </c>
      <c r="N61" s="393">
        <f t="shared" si="19"/>
        <v>0</v>
      </c>
      <c r="O61" s="394">
        <f t="shared" si="19"/>
        <v>0</v>
      </c>
      <c r="Q61" s="9"/>
    </row>
    <row r="62" spans="1:17" ht="21" customHeight="1">
      <c r="B62" s="376" t="s">
        <v>245</v>
      </c>
      <c r="C62" s="393">
        <f t="shared" si="19"/>
        <v>1.6577389577831006E-4</v>
      </c>
      <c r="D62" s="393">
        <f t="shared" si="19"/>
        <v>3.4823845973320616E-4</v>
      </c>
      <c r="E62" s="393">
        <f t="shared" si="19"/>
        <v>3.0456618252392462E-4</v>
      </c>
      <c r="F62" s="393">
        <f t="shared" si="19"/>
        <v>3.6345773728147451E-4</v>
      </c>
      <c r="G62" s="393">
        <f t="shared" si="19"/>
        <v>2.2891796034226494E-4</v>
      </c>
      <c r="H62" s="393">
        <f t="shared" si="19"/>
        <v>4.4034676602830355E-4</v>
      </c>
      <c r="I62" s="393">
        <f t="shared" si="19"/>
        <v>0</v>
      </c>
      <c r="J62" s="393">
        <f t="shared" si="19"/>
        <v>0</v>
      </c>
      <c r="K62" s="393">
        <f t="shared" si="19"/>
        <v>0</v>
      </c>
      <c r="L62" s="393">
        <f t="shared" si="19"/>
        <v>0</v>
      </c>
      <c r="M62" s="393">
        <f t="shared" si="19"/>
        <v>0</v>
      </c>
      <c r="N62" s="393">
        <f t="shared" si="19"/>
        <v>0</v>
      </c>
      <c r="O62" s="394">
        <f t="shared" si="19"/>
        <v>1.8513010016874836E-3</v>
      </c>
      <c r="Q62" s="9"/>
    </row>
    <row r="63" spans="1:17" ht="24.95" customHeight="1">
      <c r="B63" s="390" t="s">
        <v>246</v>
      </c>
      <c r="C63" s="391">
        <f t="shared" si="19"/>
        <v>2.0405682608653816E-2</v>
      </c>
      <c r="D63" s="391">
        <f t="shared" si="19"/>
        <v>1.7795707973026535E-2</v>
      </c>
      <c r="E63" s="391">
        <f t="shared" si="19"/>
        <v>1.7786054314631934E-2</v>
      </c>
      <c r="F63" s="391">
        <f t="shared" si="19"/>
        <v>2.196790160323174E-2</v>
      </c>
      <c r="G63" s="391">
        <f t="shared" si="19"/>
        <v>1.9779582220250367E-2</v>
      </c>
      <c r="H63" s="391">
        <f t="shared" si="19"/>
        <v>2.1502609062439615E-2</v>
      </c>
      <c r="I63" s="391">
        <f t="shared" si="19"/>
        <v>0</v>
      </c>
      <c r="J63" s="391">
        <f t="shared" si="19"/>
        <v>0</v>
      </c>
      <c r="K63" s="391">
        <f t="shared" si="19"/>
        <v>0</v>
      </c>
      <c r="L63" s="391">
        <f t="shared" si="19"/>
        <v>0</v>
      </c>
      <c r="M63" s="391">
        <f t="shared" si="19"/>
        <v>0</v>
      </c>
      <c r="N63" s="391">
        <f t="shared" si="19"/>
        <v>0</v>
      </c>
      <c r="O63" s="392">
        <f t="shared" si="19"/>
        <v>0.119237537782234</v>
      </c>
      <c r="Q63" s="9"/>
    </row>
    <row r="64" spans="1:17" ht="21" customHeight="1">
      <c r="B64" s="376" t="s">
        <v>247</v>
      </c>
      <c r="C64" s="393">
        <f t="shared" si="19"/>
        <v>1.8655443213261055E-2</v>
      </c>
      <c r="D64" s="393">
        <f t="shared" si="19"/>
        <v>1.4992808197372497E-2</v>
      </c>
      <c r="E64" s="393">
        <f t="shared" si="19"/>
        <v>1.5264525999266148E-2</v>
      </c>
      <c r="F64" s="393">
        <f t="shared" si="19"/>
        <v>1.9048240848688013E-2</v>
      </c>
      <c r="G64" s="393">
        <f t="shared" si="19"/>
        <v>1.6413703722911975E-2</v>
      </c>
      <c r="H64" s="393">
        <f t="shared" si="19"/>
        <v>1.892830914411309E-2</v>
      </c>
      <c r="I64" s="393">
        <f t="shared" si="19"/>
        <v>0</v>
      </c>
      <c r="J64" s="393">
        <f t="shared" si="19"/>
        <v>0</v>
      </c>
      <c r="K64" s="393">
        <f t="shared" si="19"/>
        <v>0</v>
      </c>
      <c r="L64" s="393">
        <f t="shared" si="19"/>
        <v>0</v>
      </c>
      <c r="M64" s="393">
        <f t="shared" si="19"/>
        <v>0</v>
      </c>
      <c r="N64" s="393">
        <f t="shared" si="19"/>
        <v>0</v>
      </c>
      <c r="O64" s="394">
        <f t="shared" si="19"/>
        <v>0.10330303112561279</v>
      </c>
      <c r="Q64" s="9"/>
    </row>
    <row r="65" spans="2:17" ht="15.75">
      <c r="B65" s="371" t="s">
        <v>321</v>
      </c>
      <c r="C65" s="393">
        <f t="shared" si="19"/>
        <v>1.0436942148822674E-2</v>
      </c>
      <c r="D65" s="393">
        <f t="shared" si="19"/>
        <v>1.0355601319906723E-2</v>
      </c>
      <c r="E65" s="393">
        <f t="shared" si="19"/>
        <v>1.1861239533036316E-2</v>
      </c>
      <c r="F65" s="393">
        <f t="shared" si="19"/>
        <v>1.1916242839252257E-2</v>
      </c>
      <c r="G65" s="393">
        <f t="shared" si="19"/>
        <v>1.1544367742625362E-2</v>
      </c>
      <c r="H65" s="393">
        <f t="shared" si="19"/>
        <v>1.259297921646366E-2</v>
      </c>
      <c r="I65" s="393">
        <f t="shared" si="19"/>
        <v>0</v>
      </c>
      <c r="J65" s="393">
        <f t="shared" si="19"/>
        <v>0</v>
      </c>
      <c r="K65" s="393">
        <f t="shared" si="19"/>
        <v>0</v>
      </c>
      <c r="L65" s="393">
        <f t="shared" si="19"/>
        <v>0</v>
      </c>
      <c r="M65" s="393">
        <f t="shared" si="19"/>
        <v>0</v>
      </c>
      <c r="N65" s="393">
        <f t="shared" si="19"/>
        <v>0</v>
      </c>
      <c r="O65" s="394">
        <f t="shared" si="19"/>
        <v>6.8707372800106983E-2</v>
      </c>
      <c r="Q65" s="9"/>
    </row>
    <row r="66" spans="2:17" ht="15.75">
      <c r="B66" s="395" t="s">
        <v>322</v>
      </c>
      <c r="C66" s="393">
        <f t="shared" si="19"/>
        <v>7.9184691854164886E-3</v>
      </c>
      <c r="D66" s="393">
        <f t="shared" si="19"/>
        <v>7.595962019495469E-3</v>
      </c>
      <c r="E66" s="393">
        <f t="shared" si="19"/>
        <v>8.3620452868070783E-3</v>
      </c>
      <c r="F66" s="393">
        <f t="shared" si="19"/>
        <v>7.8448762349644444E-3</v>
      </c>
      <c r="G66" s="393">
        <f t="shared" si="19"/>
        <v>7.7142214802456335E-3</v>
      </c>
      <c r="H66" s="393">
        <f t="shared" si="19"/>
        <v>9.5526483595178933E-3</v>
      </c>
      <c r="I66" s="393">
        <f t="shared" si="19"/>
        <v>0</v>
      </c>
      <c r="J66" s="393">
        <f t="shared" si="19"/>
        <v>0</v>
      </c>
      <c r="K66" s="393">
        <f t="shared" si="19"/>
        <v>0</v>
      </c>
      <c r="L66" s="393">
        <f t="shared" si="19"/>
        <v>0</v>
      </c>
      <c r="M66" s="393">
        <f t="shared" si="19"/>
        <v>0</v>
      </c>
      <c r="N66" s="393">
        <f t="shared" si="19"/>
        <v>0</v>
      </c>
      <c r="O66" s="394">
        <f t="shared" si="19"/>
        <v>4.8988222566447012E-2</v>
      </c>
      <c r="Q66" s="9"/>
    </row>
    <row r="67" spans="2:17" ht="15.75">
      <c r="B67" s="395" t="s">
        <v>323</v>
      </c>
      <c r="C67" s="393">
        <f t="shared" si="19"/>
        <v>2.5184729634061846E-3</v>
      </c>
      <c r="D67" s="393">
        <f t="shared" si="19"/>
        <v>2.759639300411254E-3</v>
      </c>
      <c r="E67" s="393">
        <f t="shared" si="19"/>
        <v>3.4991942462292368E-3</v>
      </c>
      <c r="F67" s="393">
        <f t="shared" si="19"/>
        <v>4.0713666042878115E-3</v>
      </c>
      <c r="G67" s="393">
        <f t="shared" si="19"/>
        <v>3.8301462623797286E-3</v>
      </c>
      <c r="H67" s="393">
        <f t="shared" si="19"/>
        <v>3.0403308569457656E-3</v>
      </c>
      <c r="I67" s="393">
        <f t="shared" si="19"/>
        <v>0</v>
      </c>
      <c r="J67" s="393">
        <f t="shared" si="19"/>
        <v>0</v>
      </c>
      <c r="K67" s="393">
        <f t="shared" si="19"/>
        <v>0</v>
      </c>
      <c r="L67" s="393">
        <f t="shared" si="19"/>
        <v>0</v>
      </c>
      <c r="M67" s="393">
        <f t="shared" si="19"/>
        <v>0</v>
      </c>
      <c r="N67" s="393">
        <f t="shared" si="19"/>
        <v>0</v>
      </c>
      <c r="O67" s="394">
        <f t="shared" si="19"/>
        <v>1.9719150233659982E-2</v>
      </c>
      <c r="Q67" s="9"/>
    </row>
    <row r="68" spans="2:17" ht="15.75">
      <c r="B68" s="371" t="s">
        <v>352</v>
      </c>
      <c r="C68" s="393">
        <f t="shared" si="19"/>
        <v>6.0736622739136232E-3</v>
      </c>
      <c r="D68" s="393">
        <f t="shared" si="19"/>
        <v>2.8453468570520612E-3</v>
      </c>
      <c r="E68" s="393">
        <f t="shared" si="19"/>
        <v>1.164307065454261E-3</v>
      </c>
      <c r="F68" s="393">
        <f t="shared" si="19"/>
        <v>3.8098481489791283E-3</v>
      </c>
      <c r="G68" s="393">
        <f t="shared" si="19"/>
        <v>1.2576683714103714E-3</v>
      </c>
      <c r="H68" s="393">
        <f t="shared" si="19"/>
        <v>3.4595486840519989E-3</v>
      </c>
      <c r="I68" s="393">
        <f t="shared" si="19"/>
        <v>0</v>
      </c>
      <c r="J68" s="393">
        <f t="shared" si="19"/>
        <v>0</v>
      </c>
      <c r="K68" s="393">
        <f t="shared" si="19"/>
        <v>0</v>
      </c>
      <c r="L68" s="393">
        <f t="shared" si="19"/>
        <v>0</v>
      </c>
      <c r="M68" s="393">
        <f t="shared" si="19"/>
        <v>0</v>
      </c>
      <c r="N68" s="393">
        <f t="shared" si="19"/>
        <v>0</v>
      </c>
      <c r="O68" s="394">
        <f t="shared" si="19"/>
        <v>1.8610381400861443E-2</v>
      </c>
      <c r="Q68" s="9"/>
    </row>
    <row r="69" spans="2:17" ht="15.75">
      <c r="B69" s="371" t="s">
        <v>325</v>
      </c>
      <c r="C69" s="393">
        <f t="shared" si="19"/>
        <v>2.144838790524759E-3</v>
      </c>
      <c r="D69" s="393">
        <f t="shared" si="19"/>
        <v>1.791860020413713E-3</v>
      </c>
      <c r="E69" s="393">
        <f t="shared" si="19"/>
        <v>2.2389794007755719E-3</v>
      </c>
      <c r="F69" s="393">
        <f t="shared" si="19"/>
        <v>3.3221498604566265E-3</v>
      </c>
      <c r="G69" s="393">
        <f t="shared" si="19"/>
        <v>3.6116676088762401E-3</v>
      </c>
      <c r="H69" s="393">
        <f t="shared" si="19"/>
        <v>2.875781243597433E-3</v>
      </c>
      <c r="I69" s="393">
        <f t="shared" si="19"/>
        <v>0</v>
      </c>
      <c r="J69" s="393">
        <f t="shared" si="19"/>
        <v>0</v>
      </c>
      <c r="K69" s="393">
        <f t="shared" si="19"/>
        <v>0</v>
      </c>
      <c r="L69" s="393">
        <f t="shared" si="19"/>
        <v>0</v>
      </c>
      <c r="M69" s="393">
        <f t="shared" si="19"/>
        <v>0</v>
      </c>
      <c r="N69" s="393">
        <f t="shared" si="19"/>
        <v>0</v>
      </c>
      <c r="O69" s="394">
        <f t="shared" si="19"/>
        <v>1.5985276924644343E-2</v>
      </c>
      <c r="Q69" s="9"/>
    </row>
    <row r="70" spans="2:17" ht="21" customHeight="1">
      <c r="B70" s="376" t="s">
        <v>259</v>
      </c>
      <c r="C70" s="393">
        <f t="shared" si="19"/>
        <v>1.7504550703677075E-3</v>
      </c>
      <c r="D70" s="393">
        <f t="shared" si="19"/>
        <v>2.8031469678372264E-3</v>
      </c>
      <c r="E70" s="393">
        <f t="shared" si="19"/>
        <v>2.5215283153657889E-3</v>
      </c>
      <c r="F70" s="393">
        <f t="shared" si="19"/>
        <v>2.9196607545437271E-3</v>
      </c>
      <c r="G70" s="393">
        <f t="shared" si="19"/>
        <v>3.3658784973383945E-3</v>
      </c>
      <c r="H70" s="393">
        <f t="shared" si="19"/>
        <v>2.5742999183265224E-3</v>
      </c>
      <c r="I70" s="393">
        <f t="shared" si="19"/>
        <v>0</v>
      </c>
      <c r="J70" s="393">
        <f t="shared" si="19"/>
        <v>0</v>
      </c>
      <c r="K70" s="393">
        <f t="shared" si="19"/>
        <v>0</v>
      </c>
      <c r="L70" s="393">
        <f t="shared" si="19"/>
        <v>0</v>
      </c>
      <c r="M70" s="393">
        <f t="shared" si="19"/>
        <v>0</v>
      </c>
      <c r="N70" s="393">
        <f t="shared" si="19"/>
        <v>0</v>
      </c>
      <c r="O70" s="394">
        <f t="shared" si="19"/>
        <v>1.5934969523779367E-2</v>
      </c>
      <c r="Q70" s="9"/>
    </row>
    <row r="71" spans="2:17" ht="15.75">
      <c r="B71" s="371" t="s">
        <v>260</v>
      </c>
      <c r="C71" s="393">
        <f t="shared" si="19"/>
        <v>1.7210264252347765E-3</v>
      </c>
      <c r="D71" s="393">
        <f t="shared" si="19"/>
        <v>2.5547782593025809E-3</v>
      </c>
      <c r="E71" s="393">
        <f t="shared" si="19"/>
        <v>2.347297342771571E-3</v>
      </c>
      <c r="F71" s="393">
        <f t="shared" si="19"/>
        <v>2.6322830744057485E-3</v>
      </c>
      <c r="G71" s="393">
        <f t="shared" si="19"/>
        <v>3.0024132878184516E-3</v>
      </c>
      <c r="H71" s="393">
        <f t="shared" si="19"/>
        <v>2.3746575688124655E-3</v>
      </c>
      <c r="I71" s="393">
        <f t="shared" si="19"/>
        <v>0</v>
      </c>
      <c r="J71" s="393">
        <f t="shared" si="19"/>
        <v>0</v>
      </c>
      <c r="K71" s="393">
        <f t="shared" si="19"/>
        <v>0</v>
      </c>
      <c r="L71" s="393">
        <f t="shared" si="19"/>
        <v>0</v>
      </c>
      <c r="M71" s="393">
        <f t="shared" si="19"/>
        <v>0</v>
      </c>
      <c r="N71" s="393">
        <f t="shared" si="19"/>
        <v>0</v>
      </c>
      <c r="O71" s="394">
        <f t="shared" si="19"/>
        <v>1.4632455958345595E-2</v>
      </c>
      <c r="Q71" s="9"/>
    </row>
    <row r="72" spans="2:17" ht="15.75">
      <c r="B72" s="371" t="s">
        <v>326</v>
      </c>
      <c r="C72" s="393">
        <f t="shared" ref="C72:O74" si="20">C23/$O$93</f>
        <v>2.9428645132931265E-5</v>
      </c>
      <c r="D72" s="393">
        <f t="shared" si="20"/>
        <v>2.4836870853464556E-4</v>
      </c>
      <c r="E72" s="393">
        <f t="shared" si="20"/>
        <v>1.7423097259421783E-4</v>
      </c>
      <c r="F72" s="393">
        <f t="shared" si="20"/>
        <v>2.8737768013797877E-4</v>
      </c>
      <c r="G72" s="393">
        <f t="shared" si="20"/>
        <v>3.6346520951994251E-4</v>
      </c>
      <c r="H72" s="393">
        <f t="shared" si="20"/>
        <v>1.9964234951405676E-4</v>
      </c>
      <c r="I72" s="393">
        <f t="shared" si="20"/>
        <v>0</v>
      </c>
      <c r="J72" s="393">
        <f t="shared" si="20"/>
        <v>0</v>
      </c>
      <c r="K72" s="393">
        <f t="shared" si="20"/>
        <v>0</v>
      </c>
      <c r="L72" s="393">
        <f t="shared" si="20"/>
        <v>0</v>
      </c>
      <c r="M72" s="393">
        <f t="shared" si="20"/>
        <v>0</v>
      </c>
      <c r="N72" s="393">
        <f t="shared" si="20"/>
        <v>0</v>
      </c>
      <c r="O72" s="394">
        <f t="shared" si="20"/>
        <v>1.3025135654337724E-3</v>
      </c>
      <c r="Q72" s="9"/>
    </row>
    <row r="73" spans="2:17" ht="21" customHeight="1">
      <c r="B73" s="376" t="s">
        <v>327</v>
      </c>
      <c r="C73" s="393">
        <f t="shared" si="20"/>
        <v>-2.1567497494850007E-7</v>
      </c>
      <c r="D73" s="393">
        <f t="shared" si="20"/>
        <v>-2.4719218318699778E-7</v>
      </c>
      <c r="E73" s="393">
        <f t="shared" si="20"/>
        <v>0</v>
      </c>
      <c r="F73" s="393">
        <f t="shared" si="20"/>
        <v>0</v>
      </c>
      <c r="G73" s="393">
        <f t="shared" si="20"/>
        <v>0</v>
      </c>
      <c r="H73" s="393">
        <f t="shared" si="20"/>
        <v>0</v>
      </c>
      <c r="I73" s="393">
        <f t="shared" si="20"/>
        <v>0</v>
      </c>
      <c r="J73" s="393">
        <f t="shared" si="20"/>
        <v>0</v>
      </c>
      <c r="K73" s="393">
        <f t="shared" si="20"/>
        <v>0</v>
      </c>
      <c r="L73" s="393">
        <f t="shared" si="20"/>
        <v>0</v>
      </c>
      <c r="M73" s="393">
        <f t="shared" si="20"/>
        <v>0</v>
      </c>
      <c r="N73" s="393">
        <f t="shared" si="20"/>
        <v>0</v>
      </c>
      <c r="O73" s="394">
        <f t="shared" si="20"/>
        <v>-4.6286715813549788E-7</v>
      </c>
      <c r="Q73" s="9"/>
    </row>
    <row r="74" spans="2:17" ht="24.95" customHeight="1">
      <c r="B74" s="390" t="s">
        <v>269</v>
      </c>
      <c r="C74" s="391">
        <f t="shared" si="20"/>
        <v>1.2839652912109622E-3</v>
      </c>
      <c r="D74" s="391">
        <f t="shared" si="20"/>
        <v>1.6669909355457833E-3</v>
      </c>
      <c r="E74" s="391">
        <f t="shared" si="20"/>
        <v>1.7789976899471086E-3</v>
      </c>
      <c r="F74" s="391">
        <f t="shared" si="20"/>
        <v>1.3781195881185485E-2</v>
      </c>
      <c r="G74" s="391">
        <f t="shared" si="20"/>
        <v>1.0420857626660279E-3</v>
      </c>
      <c r="H74" s="391">
        <f t="shared" si="20"/>
        <v>-2.6639910875013309E-3</v>
      </c>
      <c r="I74" s="391">
        <f t="shared" si="20"/>
        <v>0</v>
      </c>
      <c r="J74" s="391">
        <f t="shared" si="20"/>
        <v>0</v>
      </c>
      <c r="K74" s="391">
        <f t="shared" si="20"/>
        <v>0</v>
      </c>
      <c r="L74" s="391">
        <f t="shared" si="20"/>
        <v>0</v>
      </c>
      <c r="M74" s="391">
        <f t="shared" si="20"/>
        <v>0</v>
      </c>
      <c r="N74" s="391">
        <f t="shared" si="20"/>
        <v>0</v>
      </c>
      <c r="O74" s="392">
        <f t="shared" si="20"/>
        <v>1.6889244473054035E-2</v>
      </c>
      <c r="Q74" s="9"/>
    </row>
    <row r="75" spans="2:17" ht="24.95" customHeight="1">
      <c r="B75" s="396" t="s">
        <v>735</v>
      </c>
      <c r="C75" s="391"/>
      <c r="D75" s="391"/>
      <c r="E75" s="391"/>
      <c r="F75" s="391"/>
      <c r="G75" s="391"/>
      <c r="H75" s="391"/>
      <c r="I75" s="391"/>
      <c r="J75" s="391"/>
      <c r="K75" s="391"/>
      <c r="L75" s="391"/>
      <c r="M75" s="391"/>
      <c r="N75" s="391"/>
      <c r="O75" s="392"/>
      <c r="Q75" s="9"/>
    </row>
    <row r="76" spans="2:17" ht="21" customHeight="1">
      <c r="B76" s="399" t="s">
        <v>737</v>
      </c>
      <c r="C76" s="391">
        <f t="shared" ref="C76:O77" si="21">C27/$O$93</f>
        <v>5.7731620655101321E-3</v>
      </c>
      <c r="D76" s="391">
        <f t="shared" si="21"/>
        <v>2.0576764766770121E-3</v>
      </c>
      <c r="E76" s="391">
        <f t="shared" si="21"/>
        <v>7.263426225595053E-4</v>
      </c>
      <c r="F76" s="391">
        <f t="shared" si="21"/>
        <v>1.5034841012902358E-2</v>
      </c>
      <c r="G76" s="391">
        <f t="shared" si="21"/>
        <v>-8.3720640291972943E-4</v>
      </c>
      <c r="H76" s="391">
        <f t="shared" si="21"/>
        <v>-1.3383955557475526E-3</v>
      </c>
      <c r="I76" s="391">
        <f t="shared" si="21"/>
        <v>0</v>
      </c>
      <c r="J76" s="391">
        <f t="shared" si="21"/>
        <v>0</v>
      </c>
      <c r="K76" s="391">
        <f t="shared" si="21"/>
        <v>0</v>
      </c>
      <c r="L76" s="391">
        <f t="shared" si="21"/>
        <v>0</v>
      </c>
      <c r="M76" s="391">
        <f t="shared" si="21"/>
        <v>0</v>
      </c>
      <c r="N76" s="391">
        <f t="shared" si="21"/>
        <v>0</v>
      </c>
      <c r="O76" s="392">
        <f t="shared" si="21"/>
        <v>2.1416420218981724E-2</v>
      </c>
      <c r="Q76" s="9"/>
    </row>
    <row r="77" spans="2:17" ht="21" customHeight="1">
      <c r="B77" s="399" t="s">
        <v>736</v>
      </c>
      <c r="C77" s="391">
        <f t="shared" si="21"/>
        <v>4.7379408464240554E-3</v>
      </c>
      <c r="D77" s="391">
        <f t="shared" si="21"/>
        <v>1.0465686479435934E-3</v>
      </c>
      <c r="E77" s="391">
        <f t="shared" si="21"/>
        <v>-2.8428369064198319E-4</v>
      </c>
      <c r="F77" s="391">
        <f t="shared" si="21"/>
        <v>1.4022596124339625E-2</v>
      </c>
      <c r="G77" s="391">
        <f t="shared" si="21"/>
        <v>-1.8445948371357945E-3</v>
      </c>
      <c r="H77" s="391">
        <f t="shared" si="21"/>
        <v>-2.3474964218403011E-3</v>
      </c>
      <c r="I77" s="391">
        <f t="shared" si="21"/>
        <v>0</v>
      </c>
      <c r="J77" s="391">
        <f t="shared" si="21"/>
        <v>0</v>
      </c>
      <c r="K77" s="391">
        <f t="shared" si="21"/>
        <v>0</v>
      </c>
      <c r="L77" s="391">
        <f t="shared" si="21"/>
        <v>0</v>
      </c>
      <c r="M77" s="391">
        <f t="shared" si="21"/>
        <v>0</v>
      </c>
      <c r="N77" s="391">
        <f t="shared" si="21"/>
        <v>0</v>
      </c>
      <c r="O77" s="392">
        <f t="shared" si="21"/>
        <v>1.53307306690892E-2</v>
      </c>
      <c r="Q77" s="9"/>
    </row>
    <row r="78" spans="2:17" ht="24.95" customHeight="1">
      <c r="B78" s="397" t="s">
        <v>328</v>
      </c>
      <c r="C78" s="359"/>
      <c r="D78" s="359"/>
      <c r="E78" s="359"/>
      <c r="F78" s="359"/>
      <c r="G78" s="359"/>
      <c r="H78" s="359"/>
      <c r="I78" s="359"/>
      <c r="J78" s="359"/>
      <c r="K78" s="359"/>
      <c r="L78" s="359"/>
      <c r="M78" s="359"/>
      <c r="N78" s="359"/>
      <c r="O78" s="398"/>
      <c r="Q78" s="9"/>
    </row>
    <row r="79" spans="2:17" ht="21" customHeight="1">
      <c r="B79" s="399" t="s">
        <v>329</v>
      </c>
      <c r="C79" s="391">
        <f t="shared" ref="C79:O92" si="22">C30/$O$93</f>
        <v>-3.0050020840349112E-4</v>
      </c>
      <c r="D79" s="391">
        <f t="shared" si="22"/>
        <v>-7.8767038037504936E-4</v>
      </c>
      <c r="E79" s="391">
        <f t="shared" si="22"/>
        <v>-4.3796444289475564E-4</v>
      </c>
      <c r="F79" s="391">
        <f t="shared" si="22"/>
        <v>1.1224992863923229E-2</v>
      </c>
      <c r="G79" s="391">
        <f t="shared" si="22"/>
        <v>-2.0948747743301005E-3</v>
      </c>
      <c r="H79" s="391">
        <f t="shared" si="22"/>
        <v>-4.7979442397995519E-3</v>
      </c>
      <c r="I79" s="391">
        <f t="shared" si="22"/>
        <v>0</v>
      </c>
      <c r="J79" s="391">
        <f t="shared" si="22"/>
        <v>0</v>
      </c>
      <c r="K79" s="391">
        <f t="shared" si="22"/>
        <v>0</v>
      </c>
      <c r="L79" s="391">
        <f t="shared" si="22"/>
        <v>0</v>
      </c>
      <c r="M79" s="391">
        <f t="shared" si="22"/>
        <v>0</v>
      </c>
      <c r="N79" s="391">
        <f t="shared" si="22"/>
        <v>0</v>
      </c>
      <c r="O79" s="392">
        <f t="shared" si="22"/>
        <v>2.806038818120281E-3</v>
      </c>
      <c r="Q79" s="9"/>
    </row>
    <row r="80" spans="2:17" ht="21" customHeight="1">
      <c r="B80" s="399" t="s">
        <v>330</v>
      </c>
      <c r="C80" s="391">
        <f t="shared" si="22"/>
        <v>-4.6627410418180113E-4</v>
      </c>
      <c r="D80" s="391">
        <f t="shared" si="22"/>
        <v>-1.1359088401082555E-3</v>
      </c>
      <c r="E80" s="391">
        <f t="shared" si="22"/>
        <v>-7.4253062541868031E-4</v>
      </c>
      <c r="F80" s="391">
        <f t="shared" si="22"/>
        <v>1.0861535126641755E-2</v>
      </c>
      <c r="G80" s="391">
        <f t="shared" si="22"/>
        <v>-2.3237927346723658E-3</v>
      </c>
      <c r="H80" s="391">
        <f t="shared" si="22"/>
        <v>-5.2382910058278555E-3</v>
      </c>
      <c r="I80" s="391">
        <f t="shared" si="22"/>
        <v>0</v>
      </c>
      <c r="J80" s="391">
        <f t="shared" si="22"/>
        <v>0</v>
      </c>
      <c r="K80" s="391">
        <f t="shared" si="22"/>
        <v>0</v>
      </c>
      <c r="L80" s="391">
        <f t="shared" si="22"/>
        <v>0</v>
      </c>
      <c r="M80" s="391">
        <f t="shared" si="22"/>
        <v>0</v>
      </c>
      <c r="N80" s="391">
        <f t="shared" si="22"/>
        <v>0</v>
      </c>
      <c r="O80" s="392">
        <f t="shared" si="22"/>
        <v>9.547378164327982E-4</v>
      </c>
      <c r="Q80" s="9"/>
    </row>
    <row r="81" spans="2:17" ht="21" customHeight="1">
      <c r="B81" s="399" t="s">
        <v>355</v>
      </c>
      <c r="C81" s="391">
        <f t="shared" si="22"/>
        <v>-1.3357214274895674E-3</v>
      </c>
      <c r="D81" s="391">
        <f t="shared" si="22"/>
        <v>-1.7987782091084677E-3</v>
      </c>
      <c r="E81" s="391">
        <f t="shared" si="22"/>
        <v>-1.4485907560962442E-3</v>
      </c>
      <c r="F81" s="391">
        <f t="shared" si="22"/>
        <v>1.0212747975360497E-2</v>
      </c>
      <c r="G81" s="391">
        <f t="shared" si="22"/>
        <v>-3.1022632085461656E-3</v>
      </c>
      <c r="H81" s="391">
        <f t="shared" si="22"/>
        <v>-5.8070451058922995E-3</v>
      </c>
      <c r="I81" s="391">
        <f t="shared" si="22"/>
        <v>0</v>
      </c>
      <c r="J81" s="391">
        <f t="shared" si="22"/>
        <v>0</v>
      </c>
      <c r="K81" s="391">
        <f t="shared" si="22"/>
        <v>0</v>
      </c>
      <c r="L81" s="391">
        <f t="shared" si="22"/>
        <v>0</v>
      </c>
      <c r="M81" s="391">
        <f t="shared" si="22"/>
        <v>0</v>
      </c>
      <c r="N81" s="391">
        <f t="shared" si="22"/>
        <v>0</v>
      </c>
      <c r="O81" s="392">
        <f t="shared" si="22"/>
        <v>-3.2796507317722472E-3</v>
      </c>
      <c r="Q81" s="9"/>
    </row>
    <row r="82" spans="2:17" ht="24.95" customHeight="1">
      <c r="B82" s="390" t="s">
        <v>332</v>
      </c>
      <c r="C82" s="391">
        <f t="shared" si="22"/>
        <v>-3.0033209274083893E-4</v>
      </c>
      <c r="D82" s="391">
        <f t="shared" si="22"/>
        <v>-9.7145447294996767E-4</v>
      </c>
      <c r="E82" s="391">
        <f t="shared" si="22"/>
        <v>-6.8249850026262161E-4</v>
      </c>
      <c r="F82" s="391">
        <f t="shared" si="22"/>
        <v>-8.8094724321746926E-4</v>
      </c>
      <c r="G82" s="391">
        <f t="shared" si="22"/>
        <v>-3.1275518184222575E-4</v>
      </c>
      <c r="H82" s="391">
        <f t="shared" si="22"/>
        <v>-7.7793664931997747E-4</v>
      </c>
      <c r="I82" s="391">
        <f t="shared" si="22"/>
        <v>0</v>
      </c>
      <c r="J82" s="391">
        <f t="shared" si="22"/>
        <v>0</v>
      </c>
      <c r="K82" s="391">
        <f t="shared" si="22"/>
        <v>0</v>
      </c>
      <c r="L82" s="391">
        <f t="shared" si="22"/>
        <v>0</v>
      </c>
      <c r="M82" s="391">
        <f t="shared" si="22"/>
        <v>0</v>
      </c>
      <c r="N82" s="391">
        <f t="shared" si="22"/>
        <v>0</v>
      </c>
      <c r="O82" s="392">
        <f t="shared" si="22"/>
        <v>-3.9259241403331001E-3</v>
      </c>
      <c r="Q82" s="9"/>
    </row>
    <row r="83" spans="2:17" ht="15.75">
      <c r="B83" s="376" t="s">
        <v>276</v>
      </c>
      <c r="C83" s="393">
        <f t="shared" si="22"/>
        <v>2.0422167653205288E-4</v>
      </c>
      <c r="D83" s="393">
        <f t="shared" si="22"/>
        <v>7.8803225329394651E-4</v>
      </c>
      <c r="E83" s="393">
        <f t="shared" si="22"/>
        <v>7.2720872276464256E-6</v>
      </c>
      <c r="F83" s="393">
        <f t="shared" si="22"/>
        <v>1.1760785965199836E-4</v>
      </c>
      <c r="G83" s="393">
        <f t="shared" si="22"/>
        <v>4.7436345498366532E-4</v>
      </c>
      <c r="H83" s="393">
        <f t="shared" si="22"/>
        <v>2.6227077970698127E-4</v>
      </c>
      <c r="I83" s="393">
        <f t="shared" si="22"/>
        <v>0</v>
      </c>
      <c r="J83" s="393">
        <f t="shared" si="22"/>
        <v>0</v>
      </c>
      <c r="K83" s="393">
        <f t="shared" si="22"/>
        <v>0</v>
      </c>
      <c r="L83" s="393">
        <f t="shared" si="22"/>
        <v>0</v>
      </c>
      <c r="M83" s="393">
        <f t="shared" si="22"/>
        <v>0</v>
      </c>
      <c r="N83" s="393">
        <f t="shared" si="22"/>
        <v>0</v>
      </c>
      <c r="O83" s="394">
        <f t="shared" si="22"/>
        <v>1.8537681113962906E-3</v>
      </c>
      <c r="P83" s="55"/>
      <c r="Q83" s="9"/>
    </row>
    <row r="84" spans="2:17" ht="15.75">
      <c r="B84" s="376" t="s">
        <v>277</v>
      </c>
      <c r="C84" s="393">
        <f t="shared" si="22"/>
        <v>-5.0455376927289184E-4</v>
      </c>
      <c r="D84" s="393">
        <f t="shared" si="22"/>
        <v>-1.7594867262439142E-3</v>
      </c>
      <c r="E84" s="393">
        <f t="shared" si="22"/>
        <v>-6.8977058749026805E-4</v>
      </c>
      <c r="F84" s="393">
        <f t="shared" si="22"/>
        <v>-9.9855510286946765E-4</v>
      </c>
      <c r="G84" s="393">
        <f t="shared" si="22"/>
        <v>-7.8711863682589102E-4</v>
      </c>
      <c r="H84" s="393">
        <f t="shared" si="22"/>
        <v>-1.0402074290269587E-3</v>
      </c>
      <c r="I84" s="393">
        <f t="shared" si="22"/>
        <v>0</v>
      </c>
      <c r="J84" s="393">
        <f t="shared" si="22"/>
        <v>0</v>
      </c>
      <c r="K84" s="393">
        <f t="shared" si="22"/>
        <v>0</v>
      </c>
      <c r="L84" s="393">
        <f t="shared" si="22"/>
        <v>0</v>
      </c>
      <c r="M84" s="393">
        <f t="shared" si="22"/>
        <v>0</v>
      </c>
      <c r="N84" s="393">
        <f t="shared" si="22"/>
        <v>0</v>
      </c>
      <c r="O84" s="394">
        <f t="shared" si="22"/>
        <v>-5.779692251729392E-3</v>
      </c>
      <c r="P84" s="55"/>
      <c r="Q84" s="9"/>
    </row>
    <row r="85" spans="2:17" ht="24.95" customHeight="1">
      <c r="B85" s="390" t="s">
        <v>333</v>
      </c>
      <c r="C85" s="391">
        <f t="shared" si="22"/>
        <v>6.0083230114433E-4</v>
      </c>
      <c r="D85" s="391">
        <f t="shared" si="22"/>
        <v>1.7591248533250167E-3</v>
      </c>
      <c r="E85" s="391">
        <f t="shared" si="22"/>
        <v>1.1204629431573767E-3</v>
      </c>
      <c r="F85" s="391">
        <f t="shared" si="22"/>
        <v>-1.0344045620705759E-2</v>
      </c>
      <c r="G85" s="391">
        <f t="shared" si="22"/>
        <v>2.4076299561723272E-3</v>
      </c>
      <c r="H85" s="391">
        <f t="shared" si="22"/>
        <v>5.5758808891195281E-3</v>
      </c>
      <c r="I85" s="391">
        <f t="shared" si="22"/>
        <v>0</v>
      </c>
      <c r="J85" s="391">
        <f t="shared" si="22"/>
        <v>0</v>
      </c>
      <c r="K85" s="391">
        <f t="shared" si="22"/>
        <v>0</v>
      </c>
      <c r="L85" s="391">
        <f t="shared" si="22"/>
        <v>0</v>
      </c>
      <c r="M85" s="391">
        <f t="shared" si="22"/>
        <v>0</v>
      </c>
      <c r="N85" s="391">
        <f t="shared" si="22"/>
        <v>0</v>
      </c>
      <c r="O85" s="392">
        <f t="shared" si="22"/>
        <v>1.1198853222128204E-3</v>
      </c>
      <c r="Q85" s="9"/>
    </row>
    <row r="86" spans="2:17" ht="15.75">
      <c r="B86" s="376" t="s">
        <v>279</v>
      </c>
      <c r="C86" s="393">
        <f t="shared" si="22"/>
        <v>-2.4153743569494196E-4</v>
      </c>
      <c r="D86" s="393">
        <f t="shared" si="22"/>
        <v>-4.2615488345930478E-4</v>
      </c>
      <c r="E86" s="393">
        <f t="shared" si="22"/>
        <v>-4.1095262752051612E-3</v>
      </c>
      <c r="F86" s="393">
        <f t="shared" si="22"/>
        <v>3.3624886849173202E-3</v>
      </c>
      <c r="G86" s="393">
        <f t="shared" si="22"/>
        <v>-6.9614486285933539E-3</v>
      </c>
      <c r="H86" s="393">
        <f t="shared" si="22"/>
        <v>7.7642886677817236E-4</v>
      </c>
      <c r="I86" s="393">
        <f t="shared" si="22"/>
        <v>0</v>
      </c>
      <c r="J86" s="393">
        <f t="shared" si="22"/>
        <v>0</v>
      </c>
      <c r="K86" s="393">
        <f t="shared" si="22"/>
        <v>0</v>
      </c>
      <c r="L86" s="393">
        <f t="shared" si="22"/>
        <v>0</v>
      </c>
      <c r="M86" s="393">
        <f t="shared" si="22"/>
        <v>0</v>
      </c>
      <c r="N86" s="393">
        <f t="shared" si="22"/>
        <v>0</v>
      </c>
      <c r="O86" s="394">
        <f t="shared" si="22"/>
        <v>-7.5997496712572696E-3</v>
      </c>
      <c r="Q86" s="9"/>
    </row>
    <row r="87" spans="2:17" ht="15.75">
      <c r="B87" s="376" t="s">
        <v>282</v>
      </c>
      <c r="C87" s="393">
        <f t="shared" si="22"/>
        <v>5.3646180549605832E-4</v>
      </c>
      <c r="D87" s="393">
        <f t="shared" si="22"/>
        <v>7.7248245128460778E-4</v>
      </c>
      <c r="E87" s="393">
        <f t="shared" si="22"/>
        <v>3.9992482985468265E-4</v>
      </c>
      <c r="F87" s="393">
        <f t="shared" si="22"/>
        <v>-1.4221588522129135E-2</v>
      </c>
      <c r="G87" s="393">
        <f t="shared" si="22"/>
        <v>1.0323852093336857E-2</v>
      </c>
      <c r="H87" s="393">
        <f t="shared" si="22"/>
        <v>2.907667656185393E-3</v>
      </c>
      <c r="I87" s="393">
        <f t="shared" si="22"/>
        <v>0</v>
      </c>
      <c r="J87" s="393">
        <f t="shared" si="22"/>
        <v>0</v>
      </c>
      <c r="K87" s="393">
        <f t="shared" si="22"/>
        <v>0</v>
      </c>
      <c r="L87" s="393">
        <f t="shared" si="22"/>
        <v>0</v>
      </c>
      <c r="M87" s="393">
        <f t="shared" si="22"/>
        <v>0</v>
      </c>
      <c r="N87" s="393">
        <f t="shared" si="22"/>
        <v>0</v>
      </c>
      <c r="O87" s="394">
        <f t="shared" si="22"/>
        <v>7.1880031402846503E-4</v>
      </c>
      <c r="Q87" s="9"/>
    </row>
    <row r="88" spans="2:17" ht="15.75">
      <c r="B88" s="376" t="s">
        <v>283</v>
      </c>
      <c r="C88" s="393">
        <f t="shared" si="22"/>
        <v>0</v>
      </c>
      <c r="D88" s="393">
        <f t="shared" si="22"/>
        <v>0</v>
      </c>
      <c r="E88" s="393">
        <f t="shared" si="22"/>
        <v>0</v>
      </c>
      <c r="F88" s="393">
        <f t="shared" si="22"/>
        <v>0</v>
      </c>
      <c r="G88" s="393">
        <f t="shared" si="22"/>
        <v>0</v>
      </c>
      <c r="H88" s="393">
        <f t="shared" si="22"/>
        <v>0</v>
      </c>
      <c r="I88" s="393">
        <f t="shared" si="22"/>
        <v>0</v>
      </c>
      <c r="J88" s="393">
        <f t="shared" si="22"/>
        <v>0</v>
      </c>
      <c r="K88" s="393">
        <f t="shared" si="22"/>
        <v>0</v>
      </c>
      <c r="L88" s="393">
        <f t="shared" si="22"/>
        <v>0</v>
      </c>
      <c r="M88" s="393">
        <f t="shared" si="22"/>
        <v>0</v>
      </c>
      <c r="N88" s="393">
        <f t="shared" si="22"/>
        <v>0</v>
      </c>
      <c r="O88" s="394">
        <f t="shared" si="22"/>
        <v>0</v>
      </c>
      <c r="Q88" s="9"/>
    </row>
    <row r="89" spans="2:17" ht="15.75">
      <c r="B89" s="376" t="s">
        <v>284</v>
      </c>
      <c r="C89" s="393">
        <f t="shared" si="22"/>
        <v>8.6824802288719947E-4</v>
      </c>
      <c r="D89" s="393">
        <f t="shared" si="22"/>
        <v>1.5783538922021852E-3</v>
      </c>
      <c r="E89" s="393">
        <f t="shared" si="22"/>
        <v>7.2354041162687593E-3</v>
      </c>
      <c r="F89" s="393">
        <f t="shared" si="22"/>
        <v>1.1305817558028214E-3</v>
      </c>
      <c r="G89" s="393">
        <f t="shared" si="22"/>
        <v>-7.1525393019851219E-4</v>
      </c>
      <c r="H89" s="393">
        <f t="shared" si="22"/>
        <v>1.9255336975268862E-3</v>
      </c>
      <c r="I89" s="393">
        <f t="shared" si="22"/>
        <v>0</v>
      </c>
      <c r="J89" s="393">
        <f t="shared" si="22"/>
        <v>0</v>
      </c>
      <c r="K89" s="393">
        <f t="shared" si="22"/>
        <v>0</v>
      </c>
      <c r="L89" s="393">
        <f t="shared" si="22"/>
        <v>0</v>
      </c>
      <c r="M89" s="393">
        <f t="shared" si="22"/>
        <v>0</v>
      </c>
      <c r="N89" s="393">
        <f t="shared" si="22"/>
        <v>0</v>
      </c>
      <c r="O89" s="394">
        <f t="shared" si="22"/>
        <v>1.2022867554489338E-2</v>
      </c>
      <c r="Q89" s="9"/>
    </row>
    <row r="90" spans="2:17" ht="15.75">
      <c r="B90" s="376" t="s">
        <v>334</v>
      </c>
      <c r="C90" s="393">
        <f t="shared" si="22"/>
        <v>0</v>
      </c>
      <c r="D90" s="393">
        <f t="shared" si="22"/>
        <v>0</v>
      </c>
      <c r="E90" s="393">
        <f t="shared" si="22"/>
        <v>0</v>
      </c>
      <c r="F90" s="393">
        <f t="shared" si="22"/>
        <v>0</v>
      </c>
      <c r="G90" s="393">
        <f t="shared" si="22"/>
        <v>0</v>
      </c>
      <c r="H90" s="393">
        <f t="shared" si="22"/>
        <v>0</v>
      </c>
      <c r="I90" s="393">
        <f t="shared" si="22"/>
        <v>0</v>
      </c>
      <c r="J90" s="393">
        <f t="shared" si="22"/>
        <v>0</v>
      </c>
      <c r="K90" s="393">
        <f t="shared" si="22"/>
        <v>0</v>
      </c>
      <c r="L90" s="393">
        <f t="shared" si="22"/>
        <v>0</v>
      </c>
      <c r="M90" s="393">
        <f t="shared" si="22"/>
        <v>0</v>
      </c>
      <c r="N90" s="393">
        <f t="shared" si="22"/>
        <v>0</v>
      </c>
      <c r="O90" s="394">
        <f t="shared" si="22"/>
        <v>0</v>
      </c>
      <c r="Q90" s="9"/>
    </row>
    <row r="91" spans="2:17" ht="15.75">
      <c r="B91" s="376" t="s">
        <v>335</v>
      </c>
      <c r="C91" s="393">
        <f t="shared" si="22"/>
        <v>-1.0352212190860766E-3</v>
      </c>
      <c r="D91" s="393">
        <f t="shared" si="22"/>
        <v>-1.0111078287334185E-3</v>
      </c>
      <c r="E91" s="393">
        <f t="shared" si="22"/>
        <v>-1.0106263132014885E-3</v>
      </c>
      <c r="F91" s="393">
        <f t="shared" si="22"/>
        <v>-1.012244888562733E-3</v>
      </c>
      <c r="G91" s="393">
        <f t="shared" si="22"/>
        <v>-1.0073884342160649E-3</v>
      </c>
      <c r="H91" s="393">
        <f t="shared" si="22"/>
        <v>-1.0091008660927483E-3</v>
      </c>
      <c r="I91" s="393">
        <f t="shared" si="22"/>
        <v>0</v>
      </c>
      <c r="J91" s="393">
        <f t="shared" si="22"/>
        <v>0</v>
      </c>
      <c r="K91" s="393">
        <f t="shared" si="22"/>
        <v>0</v>
      </c>
      <c r="L91" s="393">
        <f t="shared" si="22"/>
        <v>0</v>
      </c>
      <c r="M91" s="393">
        <f t="shared" si="22"/>
        <v>0</v>
      </c>
      <c r="N91" s="393">
        <f t="shared" si="22"/>
        <v>0</v>
      </c>
      <c r="O91" s="394">
        <f t="shared" si="22"/>
        <v>-6.08568954989253E-3</v>
      </c>
      <c r="Q91" s="9"/>
    </row>
    <row r="92" spans="2:17" ht="15.75">
      <c r="B92" s="400" t="s">
        <v>336</v>
      </c>
      <c r="C92" s="401">
        <f t="shared" si="22"/>
        <v>4.728811275420908E-4</v>
      </c>
      <c r="D92" s="401">
        <f t="shared" si="22"/>
        <v>8.4555122203094717E-4</v>
      </c>
      <c r="E92" s="401">
        <f t="shared" si="22"/>
        <v>-1.3947134145594156E-3</v>
      </c>
      <c r="F92" s="401">
        <f t="shared" si="22"/>
        <v>3.9671734926596743E-4</v>
      </c>
      <c r="G92" s="401">
        <f t="shared" si="22"/>
        <v>7.6786885584340049E-4</v>
      </c>
      <c r="H92" s="401">
        <f t="shared" si="22"/>
        <v>9.7535153472182526E-4</v>
      </c>
      <c r="I92" s="401">
        <f t="shared" si="22"/>
        <v>0</v>
      </c>
      <c r="J92" s="401">
        <f t="shared" si="22"/>
        <v>0</v>
      </c>
      <c r="K92" s="401">
        <f t="shared" si="22"/>
        <v>0</v>
      </c>
      <c r="L92" s="401">
        <f t="shared" si="22"/>
        <v>0</v>
      </c>
      <c r="M92" s="401">
        <f t="shared" si="22"/>
        <v>0</v>
      </c>
      <c r="N92" s="401">
        <f t="shared" si="22"/>
        <v>0</v>
      </c>
      <c r="O92" s="402">
        <f t="shared" si="22"/>
        <v>2.063656674844816E-3</v>
      </c>
      <c r="Q92" s="9"/>
    </row>
    <row r="93" spans="2:17" ht="24.95" customHeight="1" thickBot="1">
      <c r="B93" s="403" t="s">
        <v>359</v>
      </c>
      <c r="C93" s="404"/>
      <c r="D93" s="405"/>
      <c r="E93" s="405"/>
      <c r="F93" s="405"/>
      <c r="G93" s="405"/>
      <c r="H93" s="405"/>
      <c r="I93" s="405"/>
      <c r="J93" s="405"/>
      <c r="K93" s="405"/>
      <c r="L93" s="405"/>
      <c r="M93" s="405"/>
      <c r="N93" s="405"/>
      <c r="O93" s="496">
        <v>26844.7</v>
      </c>
      <c r="Q93" s="9"/>
    </row>
    <row r="94" spans="2:17">
      <c r="B94" s="48" t="s">
        <v>338</v>
      </c>
      <c r="Q94" s="9"/>
    </row>
    <row r="95" spans="2:17">
      <c r="B95" s="48" t="s">
        <v>620</v>
      </c>
      <c r="Q95" s="9"/>
    </row>
    <row r="96" spans="2:17">
      <c r="Q96" s="9"/>
    </row>
    <row r="97" spans="2:17" ht="16.5" thickBot="1">
      <c r="B97" s="353" t="s">
        <v>340</v>
      </c>
      <c r="C97" s="2"/>
      <c r="D97" s="2"/>
      <c r="E97" s="2"/>
      <c r="F97" s="2"/>
      <c r="G97" s="2"/>
      <c r="H97" s="2"/>
      <c r="I97" s="2"/>
      <c r="J97" s="2"/>
      <c r="K97" s="2"/>
      <c r="L97" s="2"/>
      <c r="M97" s="2"/>
      <c r="N97" s="2"/>
      <c r="O97" s="2"/>
      <c r="Q97" s="9"/>
    </row>
    <row r="98" spans="2:17" ht="24.95" customHeight="1" thickBot="1">
      <c r="B98" s="407" t="s">
        <v>357</v>
      </c>
      <c r="C98" s="408">
        <f t="shared" ref="C98:O98" si="23">C49/$O$93</f>
        <v>1.0352212190860766E-3</v>
      </c>
      <c r="D98" s="409">
        <f t="shared" si="23"/>
        <v>1.0111078287334185E-3</v>
      </c>
      <c r="E98" s="409">
        <f t="shared" si="23"/>
        <v>1.0106263132014885E-3</v>
      </c>
      <c r="F98" s="409">
        <f t="shared" si="23"/>
        <v>1.012244888562733E-3</v>
      </c>
      <c r="G98" s="409">
        <f t="shared" si="23"/>
        <v>1.0073884342160649E-3</v>
      </c>
      <c r="H98" s="409">
        <f t="shared" si="23"/>
        <v>1.0091008660927483E-3</v>
      </c>
      <c r="I98" s="409">
        <f t="shared" si="23"/>
        <v>0</v>
      </c>
      <c r="J98" s="409">
        <f t="shared" si="23"/>
        <v>0</v>
      </c>
      <c r="K98" s="409">
        <f t="shared" si="23"/>
        <v>0</v>
      </c>
      <c r="L98" s="409">
        <f t="shared" si="23"/>
        <v>0</v>
      </c>
      <c r="M98" s="409">
        <f t="shared" si="23"/>
        <v>0</v>
      </c>
      <c r="N98" s="410">
        <f t="shared" si="23"/>
        <v>0</v>
      </c>
      <c r="O98" s="411">
        <f t="shared" si="23"/>
        <v>6.08568954989253E-3</v>
      </c>
      <c r="Q98" s="9"/>
    </row>
    <row r="99" spans="2:17">
      <c r="Q99" s="9"/>
    </row>
    <row r="100" spans="2:17">
      <c r="Q100" s="9"/>
    </row>
  </sheetData>
  <printOptions horizontalCentered="1"/>
  <pageMargins left="0.7" right="0.7" top="0.75" bottom="0.75" header="0.3" footer="0.3"/>
  <pageSetup scale="2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X81"/>
  <sheetViews>
    <sheetView topLeftCell="A58" workbookViewId="0">
      <selection activeCell="Y74" sqref="Y74"/>
    </sheetView>
  </sheetViews>
  <sheetFormatPr baseColWidth="10" defaultRowHeight="15"/>
  <cols>
    <col min="1" max="1" width="1.7109375" customWidth="1"/>
    <col min="2" max="2" width="49" customWidth="1"/>
    <col min="3" max="15" width="11.28515625" hidden="1" customWidth="1"/>
    <col min="16" max="22" width="11.28515625" customWidth="1"/>
    <col min="23" max="23" width="1.7109375" customWidth="1"/>
  </cols>
  <sheetData>
    <row r="2" spans="2:23">
      <c r="B2" s="234" t="s">
        <v>18</v>
      </c>
      <c r="C2" s="2"/>
      <c r="D2" s="2"/>
      <c r="E2" s="2"/>
      <c r="F2" s="2"/>
      <c r="G2" s="2"/>
      <c r="H2" s="2"/>
      <c r="I2" s="2"/>
      <c r="J2" s="2"/>
      <c r="K2" s="2"/>
      <c r="L2" s="2"/>
      <c r="M2" s="2"/>
      <c r="N2" s="2"/>
      <c r="O2" s="2"/>
      <c r="P2" s="2"/>
      <c r="Q2" s="2"/>
      <c r="R2" s="2"/>
      <c r="S2" s="2"/>
      <c r="T2" s="2"/>
      <c r="U2" s="2"/>
      <c r="V2" s="2"/>
      <c r="W2" s="2"/>
    </row>
    <row r="3" spans="2:23">
      <c r="B3" s="234" t="s">
        <v>780</v>
      </c>
      <c r="C3" s="2"/>
      <c r="D3" s="2"/>
      <c r="E3" s="2"/>
      <c r="F3" s="2"/>
      <c r="G3" s="2"/>
      <c r="H3" s="2"/>
      <c r="I3" s="2"/>
      <c r="J3" s="2"/>
      <c r="K3" s="2"/>
      <c r="L3" s="2"/>
      <c r="M3" s="2"/>
      <c r="N3" s="2"/>
      <c r="O3" s="2"/>
      <c r="P3" s="2"/>
      <c r="Q3" s="2"/>
      <c r="R3" s="2"/>
      <c r="S3" s="2"/>
      <c r="T3" s="2"/>
      <c r="U3" s="2"/>
      <c r="V3" s="2"/>
      <c r="W3" s="2"/>
    </row>
    <row r="4" spans="2:23">
      <c r="B4" s="234" t="s">
        <v>19</v>
      </c>
      <c r="C4" s="2"/>
      <c r="D4" s="2"/>
      <c r="E4" s="2"/>
      <c r="F4" s="2"/>
      <c r="G4" s="2"/>
      <c r="H4" s="2"/>
      <c r="I4" s="2"/>
      <c r="J4" s="2"/>
      <c r="K4" s="2"/>
      <c r="L4" s="2"/>
      <c r="M4" s="2"/>
      <c r="N4" s="2"/>
      <c r="O4" s="2"/>
      <c r="P4" s="2"/>
      <c r="Q4" s="2"/>
      <c r="R4" s="2"/>
      <c r="S4" s="2"/>
      <c r="T4" s="2"/>
      <c r="U4" s="2"/>
      <c r="V4" s="2"/>
      <c r="W4" s="2"/>
    </row>
    <row r="5" spans="2:23" ht="6" customHeight="1">
      <c r="B5" s="2"/>
      <c r="C5" s="2"/>
      <c r="D5" s="2"/>
      <c r="E5" s="2"/>
      <c r="F5" s="2"/>
      <c r="G5" s="2"/>
      <c r="H5" s="2"/>
      <c r="I5" s="2"/>
      <c r="J5" s="2"/>
      <c r="K5" s="2"/>
      <c r="L5" s="2"/>
      <c r="M5" s="2"/>
      <c r="N5" s="2"/>
      <c r="O5" s="2"/>
      <c r="P5" s="2"/>
      <c r="Q5" s="2"/>
      <c r="R5" s="2"/>
      <c r="S5" s="2"/>
      <c r="T5" s="2"/>
      <c r="U5" s="2"/>
      <c r="V5" s="2"/>
      <c r="W5" s="2"/>
    </row>
    <row r="6" spans="2:23" ht="30" customHeight="1">
      <c r="B6" s="235" t="s">
        <v>238</v>
      </c>
      <c r="C6" s="236">
        <v>2000</v>
      </c>
      <c r="D6" s="237">
        <v>2001</v>
      </c>
      <c r="E6" s="237">
        <v>2002</v>
      </c>
      <c r="F6" s="237">
        <v>2003</v>
      </c>
      <c r="G6" s="237">
        <v>2004</v>
      </c>
      <c r="H6" s="237">
        <v>2005</v>
      </c>
      <c r="I6" s="237">
        <v>2006</v>
      </c>
      <c r="J6" s="237">
        <v>2007</v>
      </c>
      <c r="K6" s="237">
        <v>2008</v>
      </c>
      <c r="L6" s="237">
        <v>2009</v>
      </c>
      <c r="M6" s="237">
        <v>2010</v>
      </c>
      <c r="N6" s="237">
        <v>2011</v>
      </c>
      <c r="O6" s="237">
        <v>2012</v>
      </c>
      <c r="P6" s="237">
        <v>2013</v>
      </c>
      <c r="Q6" s="237">
        <v>2014</v>
      </c>
      <c r="R6" s="237">
        <v>2015</v>
      </c>
      <c r="S6" s="237">
        <v>2016</v>
      </c>
      <c r="T6" s="237">
        <v>2017</v>
      </c>
      <c r="U6" s="237">
        <v>2018</v>
      </c>
      <c r="V6" s="238" t="s">
        <v>773</v>
      </c>
      <c r="W6" s="2"/>
    </row>
    <row r="7" spans="2:23" ht="6" customHeight="1">
      <c r="B7" s="239"/>
      <c r="C7" s="240"/>
      <c r="D7" s="241"/>
      <c r="E7" s="241"/>
      <c r="F7" s="241"/>
      <c r="G7" s="241"/>
      <c r="H7" s="241"/>
      <c r="I7" s="241"/>
      <c r="J7" s="241"/>
      <c r="K7" s="241"/>
      <c r="L7" s="241"/>
      <c r="M7" s="241"/>
      <c r="N7" s="241"/>
      <c r="O7" s="241"/>
      <c r="P7" s="241"/>
      <c r="Q7" s="241"/>
      <c r="R7" s="241"/>
      <c r="S7" s="608"/>
      <c r="T7" s="608"/>
      <c r="U7" s="608"/>
      <c r="V7" s="242"/>
      <c r="W7" s="2"/>
    </row>
    <row r="8" spans="2:23" ht="24.95" customHeight="1">
      <c r="B8" s="243" t="s">
        <v>239</v>
      </c>
      <c r="C8" s="244">
        <f>C9+C13+C14</f>
        <v>1633.2370271844661</v>
      </c>
      <c r="D8" s="245">
        <f>+D9+D13+D14</f>
        <v>1646.971363464</v>
      </c>
      <c r="E8" s="245">
        <f>+E9+E13+E14</f>
        <v>1825.3744377600001</v>
      </c>
      <c r="F8" s="245">
        <f>+F9+F13+F14</f>
        <v>1985.8871590599999</v>
      </c>
      <c r="G8" s="245">
        <f>+G9+G13+G14</f>
        <v>2154.7599999999998</v>
      </c>
      <c r="H8" s="245">
        <f>+H9+H13+H14</f>
        <v>2351.4525546099999</v>
      </c>
      <c r="I8" s="245">
        <f t="shared" ref="I8:S8" si="0">+I9+I13+I14</f>
        <v>2730.3044944200001</v>
      </c>
      <c r="J8" s="245">
        <f t="shared" si="0"/>
        <v>3047.8344409200008</v>
      </c>
      <c r="K8" s="245">
        <f t="shared" si="0"/>
        <v>3275.3139717899994</v>
      </c>
      <c r="L8" s="245">
        <f t="shared" si="0"/>
        <v>2987.8432806400001</v>
      </c>
      <c r="M8" s="246">
        <f t="shared" si="0"/>
        <v>3267.9539915299997</v>
      </c>
      <c r="N8" s="246">
        <f t="shared" si="0"/>
        <v>3666.2736793700005</v>
      </c>
      <c r="O8" s="246">
        <f t="shared" si="0"/>
        <v>3857.5895659599996</v>
      </c>
      <c r="P8" s="246">
        <f t="shared" si="0"/>
        <v>4113.9858584900003</v>
      </c>
      <c r="Q8" s="246">
        <f t="shared" si="0"/>
        <v>4151.7676966900008</v>
      </c>
      <c r="R8" s="245">
        <f t="shared" si="0"/>
        <v>4302.4737031599998</v>
      </c>
      <c r="S8" s="245">
        <f t="shared" si="0"/>
        <v>4433.5715443400013</v>
      </c>
      <c r="T8" s="245">
        <f t="shared" ref="T8:U8" si="1">+T9+T13+T14</f>
        <v>4835.0465344539989</v>
      </c>
      <c r="U8" s="245">
        <f t="shared" si="1"/>
        <v>5055.4679807490002</v>
      </c>
      <c r="V8" s="247">
        <f t="shared" ref="V8" si="2">+V9+V13+V14</f>
        <v>2833.33987729</v>
      </c>
      <c r="W8" s="2"/>
    </row>
    <row r="9" spans="2:23" ht="18" customHeight="1">
      <c r="B9" s="248" t="s">
        <v>240</v>
      </c>
      <c r="C9" s="244">
        <f t="shared" ref="C9:H9" si="3">SUM(C10:C12)</f>
        <v>1554.8639603655054</v>
      </c>
      <c r="D9" s="245">
        <f t="shared" si="3"/>
        <v>1614.3408444639999</v>
      </c>
      <c r="E9" s="245">
        <f t="shared" si="3"/>
        <v>1804.47443776</v>
      </c>
      <c r="F9" s="245">
        <f t="shared" si="3"/>
        <v>1936.1150113199999</v>
      </c>
      <c r="G9" s="245">
        <f t="shared" si="3"/>
        <v>2130.7599999999998</v>
      </c>
      <c r="H9" s="245">
        <f t="shared" si="3"/>
        <v>2344.6775105399997</v>
      </c>
      <c r="I9" s="245">
        <f t="shared" ref="I9:S9" si="4">SUM(I10:I12)</f>
        <v>2721.1995947400001</v>
      </c>
      <c r="J9" s="245">
        <f t="shared" si="4"/>
        <v>3025.8513441600007</v>
      </c>
      <c r="K9" s="245">
        <f t="shared" si="4"/>
        <v>3246.1098462499995</v>
      </c>
      <c r="L9" s="245">
        <f t="shared" si="4"/>
        <v>2968.83503767</v>
      </c>
      <c r="M9" s="245">
        <f t="shared" si="4"/>
        <v>3251.1575722299999</v>
      </c>
      <c r="N9" s="245">
        <f t="shared" si="4"/>
        <v>3623.1203972000003</v>
      </c>
      <c r="O9" s="245">
        <f t="shared" si="4"/>
        <v>3827.4335959999999</v>
      </c>
      <c r="P9" s="245">
        <f t="shared" si="4"/>
        <v>4088.6742254800006</v>
      </c>
      <c r="Q9" s="245">
        <f t="shared" si="4"/>
        <v>4137.7027885400003</v>
      </c>
      <c r="R9" s="245">
        <f t="shared" si="4"/>
        <v>4276.6632289899999</v>
      </c>
      <c r="S9" s="245">
        <f t="shared" si="4"/>
        <v>4411.6345156400012</v>
      </c>
      <c r="T9" s="245">
        <f t="shared" ref="T9:U9" si="5">SUM(T10:T12)</f>
        <v>4818.0169466439993</v>
      </c>
      <c r="U9" s="245">
        <f t="shared" si="5"/>
        <v>5042.7366819389999</v>
      </c>
      <c r="V9" s="247">
        <f t="shared" ref="V9" si="6">SUM(V10:V12)</f>
        <v>2826.4266241800001</v>
      </c>
      <c r="W9" s="2"/>
    </row>
    <row r="10" spans="2:23">
      <c r="B10" s="249" t="s">
        <v>241</v>
      </c>
      <c r="C10" s="250">
        <v>1451.2293592233009</v>
      </c>
      <c r="D10" s="250">
        <v>1530.2</v>
      </c>
      <c r="E10" s="250">
        <v>1685</v>
      </c>
      <c r="F10" s="250">
        <v>1812.3365271299999</v>
      </c>
      <c r="G10" s="250">
        <v>1925.2</v>
      </c>
      <c r="H10" s="250">
        <v>2229.3736267799995</v>
      </c>
      <c r="I10" s="250">
        <v>2573.5217222199999</v>
      </c>
      <c r="J10" s="250">
        <v>2876.7896027100005</v>
      </c>
      <c r="K10" s="250">
        <v>3089.5573173799994</v>
      </c>
      <c r="L10" s="250">
        <v>2836</v>
      </c>
      <c r="M10" s="250">
        <v>3071.7681433099997</v>
      </c>
      <c r="N10" s="250">
        <v>3486.6051467400002</v>
      </c>
      <c r="O10" s="250">
        <v>3685.3693020800001</v>
      </c>
      <c r="P10" s="250">
        <v>3944.0956929100007</v>
      </c>
      <c r="Q10" s="250">
        <v>3989.01623277</v>
      </c>
      <c r="R10" s="250">
        <v>4118.0533892699996</v>
      </c>
      <c r="S10" s="250">
        <v>4237.9935829500009</v>
      </c>
      <c r="T10" s="250">
        <v>4488.179321442999</v>
      </c>
      <c r="U10" s="250">
        <v>4769.3019497790001</v>
      </c>
      <c r="V10" s="251">
        <v>2695.3323726800004</v>
      </c>
      <c r="W10" s="2"/>
    </row>
    <row r="11" spans="2:23">
      <c r="B11" s="249" t="s">
        <v>242</v>
      </c>
      <c r="C11" s="252">
        <v>100.53832472872644</v>
      </c>
      <c r="D11" s="250">
        <v>82.938774494</v>
      </c>
      <c r="E11" s="250">
        <v>118.3</v>
      </c>
      <c r="F11" s="250">
        <v>118.25748419</v>
      </c>
      <c r="G11" s="250">
        <v>199.4</v>
      </c>
      <c r="H11" s="250">
        <v>105</v>
      </c>
      <c r="I11" s="250">
        <v>137.45827764000001</v>
      </c>
      <c r="J11" s="250">
        <v>137.02188715</v>
      </c>
      <c r="K11" s="250">
        <v>151.25995294000001</v>
      </c>
      <c r="L11" s="250">
        <v>107.5</v>
      </c>
      <c r="M11" s="250">
        <v>154.68394592000001</v>
      </c>
      <c r="N11" s="250">
        <v>133.22881097999999</v>
      </c>
      <c r="O11" s="250">
        <v>134.31871117</v>
      </c>
      <c r="P11" s="250">
        <v>134.80052784000003</v>
      </c>
      <c r="Q11" s="250">
        <v>145.40672076000001</v>
      </c>
      <c r="R11" s="250">
        <v>158.05126318999999</v>
      </c>
      <c r="S11" s="250">
        <v>171.22499968</v>
      </c>
      <c r="T11" s="250">
        <v>301.98130920099999</v>
      </c>
      <c r="U11" s="250">
        <v>255.52871128999999</v>
      </c>
      <c r="V11" s="251">
        <v>114.11048920000002</v>
      </c>
      <c r="W11" s="2"/>
    </row>
    <row r="12" spans="2:23">
      <c r="B12" s="249" t="s">
        <v>243</v>
      </c>
      <c r="C12" s="252">
        <v>3.0962764134780123</v>
      </c>
      <c r="D12" s="250">
        <v>1.2020699699999999</v>
      </c>
      <c r="E12" s="250">
        <v>1.17443776</v>
      </c>
      <c r="F12" s="250">
        <v>5.5209999999999999</v>
      </c>
      <c r="G12" s="250">
        <v>6.16</v>
      </c>
      <c r="H12" s="250">
        <v>10.303883760000002</v>
      </c>
      <c r="I12" s="250">
        <v>10.219594880000001</v>
      </c>
      <c r="J12" s="250">
        <v>12.0398543</v>
      </c>
      <c r="K12" s="250">
        <v>5.2925759299999999</v>
      </c>
      <c r="L12" s="250">
        <v>25.335037669999998</v>
      </c>
      <c r="M12" s="250">
        <v>24.705483000000001</v>
      </c>
      <c r="N12" s="250">
        <v>3.2864394799999999</v>
      </c>
      <c r="O12" s="250">
        <v>7.7455827500000005</v>
      </c>
      <c r="P12" s="250">
        <v>9.7780047299999993</v>
      </c>
      <c r="Q12" s="250">
        <v>3.2798350100000007</v>
      </c>
      <c r="R12" s="250">
        <v>0.55857653000000007</v>
      </c>
      <c r="S12" s="250">
        <v>2.4159330100000003</v>
      </c>
      <c r="T12" s="250">
        <v>27.856316</v>
      </c>
      <c r="U12" s="250">
        <v>17.906020869999999</v>
      </c>
      <c r="V12" s="251">
        <v>16.983762299999999</v>
      </c>
      <c r="W12" s="2"/>
    </row>
    <row r="13" spans="2:23" ht="18" customHeight="1">
      <c r="B13" s="248" t="s">
        <v>244</v>
      </c>
      <c r="C13" s="244">
        <v>1.349423186750428</v>
      </c>
      <c r="D13" s="245">
        <v>0.5</v>
      </c>
      <c r="E13" s="245">
        <v>2.4</v>
      </c>
      <c r="F13" s="245">
        <v>0.41381999999999997</v>
      </c>
      <c r="G13" s="245">
        <v>0.1</v>
      </c>
      <c r="H13" s="245">
        <v>0.13624099999999997</v>
      </c>
      <c r="I13" s="245">
        <v>2.1554319999999998E-2</v>
      </c>
      <c r="J13" s="245">
        <v>1.372585E-2</v>
      </c>
      <c r="K13" s="245">
        <v>9.4474290000000002E-2</v>
      </c>
      <c r="L13" s="245">
        <v>3.9682269999999999E-2</v>
      </c>
      <c r="M13" s="245">
        <v>0.23120028999999997</v>
      </c>
      <c r="N13" s="245">
        <v>0.16299186999999998</v>
      </c>
      <c r="O13" s="245">
        <v>0.176733</v>
      </c>
      <c r="P13" s="245">
        <v>1.0554000000000001E-2</v>
      </c>
      <c r="Q13" s="245">
        <v>3.6828600000000003E-2</v>
      </c>
      <c r="R13" s="245">
        <v>0</v>
      </c>
      <c r="S13" s="245">
        <v>6.9502640000000004E-2</v>
      </c>
      <c r="T13" s="245">
        <v>0</v>
      </c>
      <c r="U13" s="245">
        <v>0</v>
      </c>
      <c r="V13" s="247">
        <v>0</v>
      </c>
      <c r="W13" s="2"/>
    </row>
    <row r="14" spans="2:23" ht="18" customHeight="1">
      <c r="B14" s="248" t="s">
        <v>245</v>
      </c>
      <c r="C14" s="244">
        <v>77.023643632210167</v>
      </c>
      <c r="D14" s="245">
        <v>32.130519</v>
      </c>
      <c r="E14" s="245">
        <v>18.5</v>
      </c>
      <c r="F14" s="245">
        <v>49.35832774</v>
      </c>
      <c r="G14" s="245">
        <v>23.9</v>
      </c>
      <c r="H14" s="245">
        <v>6.6388030699999998</v>
      </c>
      <c r="I14" s="245">
        <v>9.0833453599999991</v>
      </c>
      <c r="J14" s="245">
        <v>21.969370910000002</v>
      </c>
      <c r="K14" s="245">
        <v>29.109651249999995</v>
      </c>
      <c r="L14" s="245">
        <v>18.968560700000001</v>
      </c>
      <c r="M14" s="245">
        <v>16.565219010000003</v>
      </c>
      <c r="N14" s="245">
        <v>42.990290299999998</v>
      </c>
      <c r="O14" s="245">
        <v>29.979236959999998</v>
      </c>
      <c r="P14" s="245">
        <v>25.301079009999999</v>
      </c>
      <c r="Q14" s="245">
        <v>14.028079549999999</v>
      </c>
      <c r="R14" s="245">
        <v>25.810474169999999</v>
      </c>
      <c r="S14" s="245">
        <v>21.867526059999999</v>
      </c>
      <c r="T14" s="245">
        <v>17.029587810000002</v>
      </c>
      <c r="U14" s="245">
        <v>12.73129881</v>
      </c>
      <c r="V14" s="247">
        <v>6.9132531099999985</v>
      </c>
      <c r="W14" s="2"/>
    </row>
    <row r="15" spans="2:23" ht="24.95" customHeight="1">
      <c r="B15" s="243" t="s">
        <v>246</v>
      </c>
      <c r="C15" s="244">
        <f t="shared" ref="C15:H15" si="7">+C16+C30+C41</f>
        <v>1963.5065308966305</v>
      </c>
      <c r="D15" s="245">
        <f t="shared" si="7"/>
        <v>1969.9743949469998</v>
      </c>
      <c r="E15" s="245">
        <f t="shared" si="7"/>
        <v>2020.5461699549999</v>
      </c>
      <c r="F15" s="245">
        <f t="shared" si="7"/>
        <v>2227.0161062099996</v>
      </c>
      <c r="G15" s="245">
        <f t="shared" si="7"/>
        <v>2312.5299999999997</v>
      </c>
      <c r="H15" s="245">
        <f t="shared" si="7"/>
        <v>2517.2193177849999</v>
      </c>
      <c r="I15" s="245">
        <f t="shared" ref="I15:S15" si="8">+I16+I30+I41</f>
        <v>2819.7801047390003</v>
      </c>
      <c r="J15" s="245">
        <f t="shared" si="8"/>
        <v>3138.1464033047096</v>
      </c>
      <c r="K15" s="245">
        <f t="shared" si="8"/>
        <v>3483.4513853599997</v>
      </c>
      <c r="L15" s="245">
        <f t="shared" si="8"/>
        <v>3751.0955268899997</v>
      </c>
      <c r="M15" s="245">
        <f t="shared" si="8"/>
        <v>3862.9248642899997</v>
      </c>
      <c r="N15" s="245">
        <f t="shared" si="8"/>
        <v>4233.7800251900007</v>
      </c>
      <c r="O15" s="245">
        <f t="shared" si="8"/>
        <v>4258.43397611</v>
      </c>
      <c r="P15" s="245">
        <f t="shared" si="8"/>
        <v>4559.6132713050001</v>
      </c>
      <c r="Q15" s="245">
        <f t="shared" si="8"/>
        <v>4557.7662596600003</v>
      </c>
      <c r="R15" s="245">
        <f t="shared" si="8"/>
        <v>4593.8859330418891</v>
      </c>
      <c r="S15" s="245">
        <f t="shared" si="8"/>
        <v>4617.1455576173194</v>
      </c>
      <c r="T15" s="245">
        <f t="shared" ref="T15:U15" si="9">+T16+T30+T41</f>
        <v>4783.5361902499999</v>
      </c>
      <c r="U15" s="245">
        <f t="shared" si="9"/>
        <v>5301.5233856460009</v>
      </c>
      <c r="V15" s="247">
        <f t="shared" ref="V15" si="10">+V16+V30+V41</f>
        <v>2821.6782726390002</v>
      </c>
      <c r="W15" s="2"/>
    </row>
    <row r="16" spans="2:23" ht="18" customHeight="1">
      <c r="B16" s="248" t="s">
        <v>247</v>
      </c>
      <c r="C16" s="244">
        <f t="shared" ref="C16:H16" si="11">SUM(C17:C20)</f>
        <v>1643.5464490005711</v>
      </c>
      <c r="D16" s="245">
        <f t="shared" si="11"/>
        <v>1607.425816663</v>
      </c>
      <c r="E16" s="245">
        <f t="shared" si="11"/>
        <v>1673.930814955</v>
      </c>
      <c r="F16" s="245">
        <f t="shared" si="11"/>
        <v>1858.13081784</v>
      </c>
      <c r="G16" s="245">
        <f t="shared" si="11"/>
        <v>1987.5</v>
      </c>
      <c r="H16" s="245">
        <f t="shared" si="11"/>
        <v>2089.2137904249998</v>
      </c>
      <c r="I16" s="245">
        <f t="shared" ref="I16:S16" si="12">SUM(I17:I20)</f>
        <v>2314.5295123290002</v>
      </c>
      <c r="J16" s="245">
        <f t="shared" si="12"/>
        <v>2588.0237208827098</v>
      </c>
      <c r="K16" s="245">
        <f t="shared" si="12"/>
        <v>2908.9012905939999</v>
      </c>
      <c r="L16" s="245">
        <f t="shared" si="12"/>
        <v>3197.2355268899996</v>
      </c>
      <c r="M16" s="245">
        <f t="shared" si="12"/>
        <v>3260.7647121999998</v>
      </c>
      <c r="N16" s="245">
        <f t="shared" si="12"/>
        <v>3578.5908321800002</v>
      </c>
      <c r="O16" s="245">
        <f t="shared" si="12"/>
        <v>3515.5732402399999</v>
      </c>
      <c r="P16" s="245">
        <f t="shared" si="12"/>
        <v>3734.4821510350002</v>
      </c>
      <c r="Q16" s="245">
        <f t="shared" si="12"/>
        <v>3802.2045540100003</v>
      </c>
      <c r="R16" s="245">
        <f t="shared" si="12"/>
        <v>3857.3857074980006</v>
      </c>
      <c r="S16" s="245">
        <f t="shared" si="12"/>
        <v>3891.1906115179995</v>
      </c>
      <c r="T16" s="245">
        <f t="shared" ref="T16:U16" si="13">SUM(T17:T20)</f>
        <v>4118.3113061200002</v>
      </c>
      <c r="U16" s="245">
        <f t="shared" si="13"/>
        <v>4582.4396667260007</v>
      </c>
      <c r="V16" s="247">
        <f t="shared" ref="V16" si="14">SUM(V17:V20)</f>
        <v>2436.8519331890002</v>
      </c>
      <c r="W16" s="2"/>
    </row>
    <row r="17" spans="2:24">
      <c r="B17" s="249" t="s">
        <v>136</v>
      </c>
      <c r="C17" s="252">
        <v>786.40251284980002</v>
      </c>
      <c r="D17" s="250">
        <v>759.26344228999994</v>
      </c>
      <c r="E17" s="250">
        <v>752.84</v>
      </c>
      <c r="F17" s="250">
        <v>731.98264999999981</v>
      </c>
      <c r="G17" s="250">
        <v>741.2</v>
      </c>
      <c r="H17" s="250">
        <v>761.75586325000006</v>
      </c>
      <c r="I17" s="250">
        <v>832.47782000000018</v>
      </c>
      <c r="J17" s="250">
        <v>885.91126375070996</v>
      </c>
      <c r="K17" s="250">
        <v>968.31899589599993</v>
      </c>
      <c r="L17" s="250">
        <v>1064.8</v>
      </c>
      <c r="M17" s="250">
        <v>1102.37681978</v>
      </c>
      <c r="N17" s="250">
        <v>1272.3392195700001</v>
      </c>
      <c r="O17" s="250">
        <v>1323.617512757</v>
      </c>
      <c r="P17" s="250">
        <v>1380.01057064</v>
      </c>
      <c r="Q17" s="250">
        <v>1463.0222574600002</v>
      </c>
      <c r="R17" s="250">
        <v>1532.2598010800002</v>
      </c>
      <c r="S17" s="250">
        <v>1567.41187952</v>
      </c>
      <c r="T17" s="250">
        <v>1562.0407271700001</v>
      </c>
      <c r="U17" s="250">
        <v>1631.1394834599998</v>
      </c>
      <c r="V17" s="251">
        <v>825.64486419000013</v>
      </c>
      <c r="W17" s="2"/>
    </row>
    <row r="18" spans="2:24">
      <c r="B18" s="249" t="s">
        <v>248</v>
      </c>
      <c r="C18" s="252">
        <v>209.88885208452308</v>
      </c>
      <c r="D18" s="250">
        <v>215.07062967000002</v>
      </c>
      <c r="E18" s="250">
        <v>226.14</v>
      </c>
      <c r="F18" s="250">
        <v>283.92074250000002</v>
      </c>
      <c r="G18" s="250">
        <v>323</v>
      </c>
      <c r="H18" s="250">
        <v>350.00711979499999</v>
      </c>
      <c r="I18" s="250">
        <v>338.85056723000002</v>
      </c>
      <c r="J18" s="250">
        <v>392.67057295999996</v>
      </c>
      <c r="K18" s="250">
        <v>452.26410766000004</v>
      </c>
      <c r="L18" s="250">
        <v>483.4</v>
      </c>
      <c r="M18" s="250">
        <v>551.88401151399989</v>
      </c>
      <c r="N18" s="250">
        <v>467.20567438</v>
      </c>
      <c r="O18" s="250">
        <v>446.73453576999998</v>
      </c>
      <c r="P18" s="250">
        <v>554.02677621999999</v>
      </c>
      <c r="Q18" s="250">
        <v>542.60729704000005</v>
      </c>
      <c r="R18" s="250">
        <v>525.33921126000018</v>
      </c>
      <c r="S18" s="250">
        <v>562.31691511899987</v>
      </c>
      <c r="T18" s="250">
        <v>458.6873270000001</v>
      </c>
      <c r="U18" s="250">
        <v>520.06615834000002</v>
      </c>
      <c r="V18" s="251">
        <v>275.10901876000003</v>
      </c>
      <c r="W18" s="2"/>
    </row>
    <row r="19" spans="2:24">
      <c r="B19" s="249" t="s">
        <v>249</v>
      </c>
      <c r="C19" s="252">
        <v>180.11981724728724</v>
      </c>
      <c r="D19" s="250">
        <v>172.76172920999997</v>
      </c>
      <c r="E19" s="250">
        <v>223.8</v>
      </c>
      <c r="F19" s="250">
        <v>289.70559600000001</v>
      </c>
      <c r="G19" s="250">
        <v>320.10000000000002</v>
      </c>
      <c r="H19" s="250">
        <v>371.11888733000001</v>
      </c>
      <c r="I19" s="250">
        <v>446.95664954899996</v>
      </c>
      <c r="J19" s="250">
        <v>498.16684378999997</v>
      </c>
      <c r="K19" s="250">
        <v>509.42475894000006</v>
      </c>
      <c r="L19" s="250">
        <v>516.70000000000005</v>
      </c>
      <c r="M19" s="250">
        <v>492.16990355000002</v>
      </c>
      <c r="N19" s="250">
        <v>502.85367014000002</v>
      </c>
      <c r="O19" s="250">
        <v>521.33766490999994</v>
      </c>
      <c r="P19" s="250">
        <v>582.70009659999994</v>
      </c>
      <c r="Q19" s="250">
        <v>592.70206731000007</v>
      </c>
      <c r="R19" s="250">
        <v>618.50059136899984</v>
      </c>
      <c r="S19" s="250">
        <v>655.81343384000013</v>
      </c>
      <c r="T19" s="250">
        <v>759.27028555999993</v>
      </c>
      <c r="U19" s="250">
        <v>877.03261389000022</v>
      </c>
      <c r="V19" s="251">
        <v>468.79256788999999</v>
      </c>
      <c r="W19" s="2"/>
    </row>
    <row r="20" spans="2:24">
      <c r="B20" s="249" t="s">
        <v>250</v>
      </c>
      <c r="C20" s="252">
        <f t="shared" ref="C20:H20" si="15">SUM(C21:C28)</f>
        <v>467.13526681896059</v>
      </c>
      <c r="D20" s="250">
        <f t="shared" si="15"/>
        <v>460.33001549300008</v>
      </c>
      <c r="E20" s="250">
        <f t="shared" si="15"/>
        <v>471.15081495499999</v>
      </c>
      <c r="F20" s="250">
        <f t="shared" si="15"/>
        <v>552.52182934000007</v>
      </c>
      <c r="G20" s="250">
        <f t="shared" si="15"/>
        <v>603.19999999999993</v>
      </c>
      <c r="H20" s="250">
        <f t="shared" si="15"/>
        <v>606.33192004999989</v>
      </c>
      <c r="I20" s="250">
        <f t="shared" ref="I20:R20" si="16">SUM(I21:I28)</f>
        <v>696.24447555000006</v>
      </c>
      <c r="J20" s="250">
        <f t="shared" si="16"/>
        <v>811.27504038199993</v>
      </c>
      <c r="K20" s="250">
        <f t="shared" si="16"/>
        <v>978.89342809799996</v>
      </c>
      <c r="L20" s="250">
        <f t="shared" si="16"/>
        <v>1132.33552689</v>
      </c>
      <c r="M20" s="250">
        <f t="shared" si="16"/>
        <v>1114.3339773559999</v>
      </c>
      <c r="N20" s="250">
        <f t="shared" si="16"/>
        <v>1336.1922680900002</v>
      </c>
      <c r="O20" s="250">
        <f t="shared" si="16"/>
        <v>1223.883526803</v>
      </c>
      <c r="P20" s="250">
        <f t="shared" si="16"/>
        <v>1217.7447075749999</v>
      </c>
      <c r="Q20" s="250">
        <f t="shared" si="16"/>
        <v>1203.8729321999999</v>
      </c>
      <c r="R20" s="250">
        <f t="shared" si="16"/>
        <v>1181.286103789</v>
      </c>
      <c r="S20" s="250">
        <f>SUM(S21:S29)</f>
        <v>1105.6483830389998</v>
      </c>
      <c r="T20" s="250">
        <f>SUM(T21:T29)</f>
        <v>1338.3129663899999</v>
      </c>
      <c r="U20" s="250">
        <f>SUM(U21:U29)</f>
        <v>1554.2014110360001</v>
      </c>
      <c r="V20" s="251">
        <f>SUM(V21:V29)</f>
        <v>867.30548234900004</v>
      </c>
      <c r="W20" s="2"/>
      <c r="X20" s="9"/>
    </row>
    <row r="21" spans="2:24">
      <c r="B21" s="253" t="s">
        <v>251</v>
      </c>
      <c r="C21" s="252">
        <v>228.81911936036551</v>
      </c>
      <c r="D21" s="250">
        <v>220.79845971000003</v>
      </c>
      <c r="E21" s="250">
        <v>213.58940999999999</v>
      </c>
      <c r="F21" s="250">
        <v>295.36707564</v>
      </c>
      <c r="G21" s="250">
        <v>321.10000000000002</v>
      </c>
      <c r="H21" s="250">
        <v>318.59999434999997</v>
      </c>
      <c r="I21" s="250">
        <v>349.58782174000004</v>
      </c>
      <c r="J21" s="250">
        <v>373.33447178199992</v>
      </c>
      <c r="K21" s="250">
        <v>407.10971405799995</v>
      </c>
      <c r="L21" s="250">
        <v>449.2</v>
      </c>
      <c r="M21" s="250">
        <v>469.427031935</v>
      </c>
      <c r="N21" s="250">
        <v>513.79652257999999</v>
      </c>
      <c r="O21" s="250">
        <v>526.3611732999999</v>
      </c>
      <c r="P21" s="250">
        <v>607.35215538</v>
      </c>
      <c r="Q21" s="250">
        <v>627.15204743000004</v>
      </c>
      <c r="R21" s="250">
        <v>639.22639906999996</v>
      </c>
      <c r="S21" s="250">
        <v>664.70616107099977</v>
      </c>
      <c r="T21" s="250">
        <v>663.66987491999998</v>
      </c>
      <c r="U21" s="250">
        <v>766.260727696</v>
      </c>
      <c r="V21" s="251">
        <v>381.83333836000003</v>
      </c>
      <c r="W21" s="2"/>
      <c r="X21" s="9"/>
    </row>
    <row r="22" spans="2:24">
      <c r="B22" s="253" t="s">
        <v>252</v>
      </c>
      <c r="C22" s="252">
        <v>3.0191153626499139</v>
      </c>
      <c r="D22" s="250">
        <v>4.4068670000000001</v>
      </c>
      <c r="E22" s="250">
        <v>2.5</v>
      </c>
      <c r="F22" s="250">
        <v>6.8284919999999998</v>
      </c>
      <c r="G22" s="250">
        <v>0.6</v>
      </c>
      <c r="H22" s="250">
        <v>1.5263230000000001</v>
      </c>
      <c r="I22" s="250">
        <v>1.4260058</v>
      </c>
      <c r="J22" s="250">
        <v>0.39999600000000002</v>
      </c>
      <c r="K22" s="250">
        <v>0.36701499999999992</v>
      </c>
      <c r="L22" s="250">
        <v>2.63552689</v>
      </c>
      <c r="M22" s="250">
        <v>0.70998499999999987</v>
      </c>
      <c r="N22" s="250">
        <v>0.40167999999999993</v>
      </c>
      <c r="O22" s="250">
        <v>0.40167999999999993</v>
      </c>
      <c r="P22" s="250">
        <v>0.62568000000000001</v>
      </c>
      <c r="Q22" s="250">
        <v>6.6256010000000004E-2</v>
      </c>
      <c r="R22" s="250">
        <v>0</v>
      </c>
      <c r="S22" s="250">
        <v>0</v>
      </c>
      <c r="T22" s="250">
        <v>47.050510000000003</v>
      </c>
      <c r="U22" s="250">
        <v>0</v>
      </c>
      <c r="V22" s="251">
        <v>7.9678899999999997</v>
      </c>
      <c r="W22" s="2"/>
      <c r="X22" s="9"/>
    </row>
    <row r="23" spans="2:24">
      <c r="B23" s="253" t="s">
        <v>253</v>
      </c>
      <c r="C23" s="252">
        <v>4.5393489434608787</v>
      </c>
      <c r="D23" s="250">
        <v>4.18917743</v>
      </c>
      <c r="E23" s="250">
        <v>4.0999999999999996</v>
      </c>
      <c r="F23" s="250">
        <v>3.9414797899999998</v>
      </c>
      <c r="G23" s="250">
        <v>3.9</v>
      </c>
      <c r="H23" s="250">
        <v>3.8057224300000003</v>
      </c>
      <c r="I23" s="250">
        <v>5.9666226800000004</v>
      </c>
      <c r="J23" s="250">
        <v>6.1341059199999988</v>
      </c>
      <c r="K23" s="250">
        <v>9.1750110099999986</v>
      </c>
      <c r="L23" s="250">
        <v>3.6</v>
      </c>
      <c r="M23" s="250">
        <v>3.9984711999999996</v>
      </c>
      <c r="N23" s="250">
        <v>5.3103541099999996</v>
      </c>
      <c r="O23" s="250">
        <v>2.9410231700000002</v>
      </c>
      <c r="P23" s="250">
        <v>5.9480656200000004</v>
      </c>
      <c r="Q23" s="250">
        <v>5.3778000899999991</v>
      </c>
      <c r="R23" s="250">
        <v>6.8410407500000003</v>
      </c>
      <c r="S23" s="250">
        <v>7.2033151800000006</v>
      </c>
      <c r="T23" s="250">
        <v>20.637505519999998</v>
      </c>
      <c r="U23" s="250">
        <v>38.902665280000001</v>
      </c>
      <c r="V23" s="251">
        <v>20.708079640000001</v>
      </c>
      <c r="W23" s="2"/>
      <c r="X23" s="9"/>
    </row>
    <row r="24" spans="2:24">
      <c r="B24" s="253" t="s">
        <v>254</v>
      </c>
      <c r="C24" s="252">
        <v>221.03718058252426</v>
      </c>
      <c r="D24" s="250">
        <v>221.86315499299999</v>
      </c>
      <c r="E24" s="250">
        <v>241.50436995500004</v>
      </c>
      <c r="F24" s="250">
        <v>237.63865791000003</v>
      </c>
      <c r="G24" s="250">
        <v>268.39999999999998</v>
      </c>
      <c r="H24" s="250">
        <v>272.32078815999995</v>
      </c>
      <c r="I24" s="250">
        <v>325.08647230999998</v>
      </c>
      <c r="J24" s="250">
        <v>418.15687952999997</v>
      </c>
      <c r="K24" s="250">
        <v>552.83916321000004</v>
      </c>
      <c r="L24" s="250">
        <v>667.6</v>
      </c>
      <c r="M24" s="250">
        <v>626.75298669100005</v>
      </c>
      <c r="N24" s="250">
        <v>805.49673584999994</v>
      </c>
      <c r="O24" s="250">
        <v>685.8099937930001</v>
      </c>
      <c r="P24" s="250">
        <v>572.04191183499995</v>
      </c>
      <c r="Q24" s="250">
        <v>543.67812317999994</v>
      </c>
      <c r="R24" s="250">
        <v>506.47769732899997</v>
      </c>
      <c r="S24" s="250">
        <v>348.11581890799999</v>
      </c>
      <c r="T24" s="250">
        <v>464.33678202000004</v>
      </c>
      <c r="U24" s="250">
        <v>567.68512661000011</v>
      </c>
      <c r="V24" s="251">
        <v>329.14304705900003</v>
      </c>
      <c r="W24" s="2"/>
      <c r="X24" s="9"/>
    </row>
    <row r="25" spans="2:24">
      <c r="B25" s="253" t="s">
        <v>255</v>
      </c>
      <c r="C25" s="252">
        <v>6.0060308395202728</v>
      </c>
      <c r="D25" s="250">
        <v>5.6464573600000003</v>
      </c>
      <c r="E25" s="250">
        <v>6.4</v>
      </c>
      <c r="F25" s="250">
        <v>5.6990000000000016</v>
      </c>
      <c r="G25" s="250">
        <v>6.3</v>
      </c>
      <c r="H25" s="250">
        <v>7.1604849999999995</v>
      </c>
      <c r="I25" s="250">
        <v>5.1554505900000009</v>
      </c>
      <c r="J25" s="250">
        <v>10.133278150000001</v>
      </c>
      <c r="K25" s="250">
        <v>5.3861994399999995</v>
      </c>
      <c r="L25" s="250">
        <v>5.7</v>
      </c>
      <c r="M25" s="250">
        <v>8.2391862899999992</v>
      </c>
      <c r="N25" s="250">
        <v>7.2200270199999999</v>
      </c>
      <c r="O25" s="250">
        <v>4.4014372199999992</v>
      </c>
      <c r="P25" s="250">
        <v>10.199008109999999</v>
      </c>
      <c r="Q25" s="250">
        <v>5.3820753900000016</v>
      </c>
      <c r="R25" s="250">
        <v>10.575786269999998</v>
      </c>
      <c r="S25" s="250">
        <v>10.155105729999999</v>
      </c>
      <c r="T25" s="250">
        <v>9.9415967700000003</v>
      </c>
      <c r="U25" s="250">
        <v>13.63420264</v>
      </c>
      <c r="V25" s="251">
        <v>4.5901130400000003</v>
      </c>
      <c r="W25" s="2"/>
      <c r="X25" s="9"/>
    </row>
    <row r="26" spans="2:24">
      <c r="B26" s="253" t="s">
        <v>256</v>
      </c>
      <c r="C26" s="252">
        <v>3.7144717304397483</v>
      </c>
      <c r="D26" s="250">
        <v>3.4258989999999998</v>
      </c>
      <c r="E26" s="250">
        <v>3.0570349999999999</v>
      </c>
      <c r="F26" s="250">
        <v>3.0471240000000002</v>
      </c>
      <c r="G26" s="250">
        <v>2.9</v>
      </c>
      <c r="H26" s="250">
        <v>2.9186071100000004</v>
      </c>
      <c r="I26" s="250">
        <v>9.0221024300000003</v>
      </c>
      <c r="J26" s="250">
        <v>3.1163090000000002</v>
      </c>
      <c r="K26" s="250">
        <v>4.0163253799999996</v>
      </c>
      <c r="L26" s="250">
        <v>3.6</v>
      </c>
      <c r="M26" s="250">
        <v>5.2063162399999996</v>
      </c>
      <c r="N26" s="250">
        <v>3.9669485299999998</v>
      </c>
      <c r="O26" s="250">
        <v>3.9682193199999998</v>
      </c>
      <c r="P26" s="250">
        <v>4.5678708500000003</v>
      </c>
      <c r="Q26" s="250">
        <v>4.473316839999999</v>
      </c>
      <c r="R26" s="250">
        <v>4.13401511</v>
      </c>
      <c r="S26" s="250">
        <v>4.2634480000000003</v>
      </c>
      <c r="T26" s="250">
        <v>4.2666769999999996</v>
      </c>
      <c r="U26" s="250">
        <v>4.197368</v>
      </c>
      <c r="V26" s="251">
        <v>2.029811</v>
      </c>
      <c r="W26" s="2"/>
      <c r="X26" s="9"/>
    </row>
    <row r="27" spans="2:24">
      <c r="B27" s="253" t="s">
        <v>257</v>
      </c>
      <c r="C27" s="252"/>
      <c r="D27" s="250"/>
      <c r="E27" s="250"/>
      <c r="F27" s="250"/>
      <c r="G27" s="250"/>
      <c r="H27" s="250"/>
      <c r="I27" s="250"/>
      <c r="J27" s="250"/>
      <c r="K27" s="250"/>
      <c r="L27" s="250"/>
      <c r="M27" s="250">
        <v>0</v>
      </c>
      <c r="N27" s="250">
        <v>0</v>
      </c>
      <c r="O27" s="250">
        <v>0</v>
      </c>
      <c r="P27" s="250">
        <v>0</v>
      </c>
      <c r="Q27" s="250">
        <v>0</v>
      </c>
      <c r="R27" s="250">
        <v>0</v>
      </c>
      <c r="S27" s="250">
        <v>0</v>
      </c>
      <c r="T27" s="250">
        <v>0</v>
      </c>
      <c r="U27" s="250">
        <v>0</v>
      </c>
      <c r="V27" s="251">
        <v>0</v>
      </c>
      <c r="W27" s="2"/>
      <c r="X27" s="9"/>
    </row>
    <row r="28" spans="2:24">
      <c r="B28" s="253" t="s">
        <v>258</v>
      </c>
      <c r="C28" s="252"/>
      <c r="D28" s="250"/>
      <c r="E28" s="250"/>
      <c r="F28" s="250"/>
      <c r="G28" s="250"/>
      <c r="H28" s="250"/>
      <c r="I28" s="250"/>
      <c r="J28" s="250"/>
      <c r="K28" s="250"/>
      <c r="L28" s="250"/>
      <c r="M28" s="250">
        <v>0</v>
      </c>
      <c r="N28" s="250">
        <v>0</v>
      </c>
      <c r="O28" s="250">
        <v>0</v>
      </c>
      <c r="P28" s="250">
        <v>17.010015779999996</v>
      </c>
      <c r="Q28" s="250">
        <v>17.743313260000001</v>
      </c>
      <c r="R28" s="250">
        <v>14.03116526</v>
      </c>
      <c r="S28" s="250">
        <v>15.619345679999999</v>
      </c>
      <c r="T28" s="250">
        <v>13.030456059999999</v>
      </c>
      <c r="U28" s="250">
        <v>45.578933670000005</v>
      </c>
      <c r="V28" s="251">
        <v>19.950572900000001</v>
      </c>
      <c r="W28" s="2"/>
      <c r="X28" s="9"/>
    </row>
    <row r="29" spans="2:24">
      <c r="B29" s="253" t="s">
        <v>626</v>
      </c>
      <c r="C29" s="252"/>
      <c r="D29" s="250"/>
      <c r="E29" s="250"/>
      <c r="F29" s="250"/>
      <c r="G29" s="250"/>
      <c r="H29" s="250"/>
      <c r="I29" s="250"/>
      <c r="J29" s="250"/>
      <c r="K29" s="250"/>
      <c r="L29" s="250"/>
      <c r="M29" s="250"/>
      <c r="N29" s="250"/>
      <c r="O29" s="250"/>
      <c r="P29" s="250"/>
      <c r="Q29" s="250"/>
      <c r="R29" s="250"/>
      <c r="S29" s="250">
        <v>55.585188469999999</v>
      </c>
      <c r="T29" s="250">
        <v>115.37956410000001</v>
      </c>
      <c r="U29" s="250">
        <v>117.94238714000001</v>
      </c>
      <c r="V29" s="251">
        <v>101.08263035</v>
      </c>
      <c r="W29" s="2"/>
      <c r="X29" s="9"/>
    </row>
    <row r="30" spans="2:24" ht="18" customHeight="1">
      <c r="B30" s="248" t="s">
        <v>259</v>
      </c>
      <c r="C30" s="244">
        <f t="shared" ref="C30:H30" si="17">SUM(C31:C32)</f>
        <v>332.78287607081666</v>
      </c>
      <c r="D30" s="245">
        <f t="shared" si="17"/>
        <v>370.28347724000002</v>
      </c>
      <c r="E30" s="245">
        <f t="shared" si="17"/>
        <v>346.31535500000001</v>
      </c>
      <c r="F30" s="245">
        <f t="shared" si="17"/>
        <v>374.68618554</v>
      </c>
      <c r="G30" s="245">
        <f t="shared" si="17"/>
        <v>347.12</v>
      </c>
      <c r="H30" s="245">
        <f t="shared" si="17"/>
        <v>438.66233837999999</v>
      </c>
      <c r="I30" s="245">
        <f t="shared" ref="I30:T30" si="18">SUM(I31:I32)</f>
        <v>521.03295516000003</v>
      </c>
      <c r="J30" s="245">
        <f t="shared" si="18"/>
        <v>561.39961208199998</v>
      </c>
      <c r="K30" s="245">
        <f t="shared" si="18"/>
        <v>580.8117220659999</v>
      </c>
      <c r="L30" s="245">
        <f t="shared" si="18"/>
        <v>558.45999999999992</v>
      </c>
      <c r="M30" s="245">
        <f t="shared" si="18"/>
        <v>605.00654868999993</v>
      </c>
      <c r="N30" s="245">
        <f t="shared" si="18"/>
        <v>661.83433007000008</v>
      </c>
      <c r="O30" s="245">
        <f t="shared" si="18"/>
        <v>738.95837649000009</v>
      </c>
      <c r="P30" s="245">
        <f t="shared" si="18"/>
        <v>814.89285038000003</v>
      </c>
      <c r="Q30" s="245">
        <f t="shared" si="18"/>
        <v>758.85138490999998</v>
      </c>
      <c r="R30" s="245">
        <f t="shared" si="18"/>
        <v>737.12162999388897</v>
      </c>
      <c r="S30" s="245">
        <f t="shared" si="18"/>
        <v>726.61800042931986</v>
      </c>
      <c r="T30" s="245">
        <f t="shared" si="18"/>
        <v>676.2268982999999</v>
      </c>
      <c r="U30" s="245">
        <f t="shared" ref="U30:V30" si="19">SUM(U31:U32)</f>
        <v>719.31815991999997</v>
      </c>
      <c r="V30" s="247">
        <f t="shared" si="19"/>
        <v>384.87289129999999</v>
      </c>
      <c r="W30" s="2"/>
      <c r="X30" s="9"/>
    </row>
    <row r="31" spans="2:24">
      <c r="B31" s="249" t="s">
        <v>260</v>
      </c>
      <c r="C31" s="252">
        <v>182.40582524271846</v>
      </c>
      <c r="D31" s="250">
        <v>193.56</v>
      </c>
      <c r="E31" s="250">
        <v>84.14</v>
      </c>
      <c r="F31" s="250">
        <v>131.68</v>
      </c>
      <c r="G31" s="250">
        <v>118.6</v>
      </c>
      <c r="H31" s="250">
        <v>160.30959848999998</v>
      </c>
      <c r="I31" s="250">
        <v>218.83325712000001</v>
      </c>
      <c r="J31" s="250">
        <v>182.38404097200004</v>
      </c>
      <c r="K31" s="250">
        <v>233.220395766</v>
      </c>
      <c r="L31" s="250">
        <v>173.92</v>
      </c>
      <c r="M31" s="250">
        <v>194.57916313000001</v>
      </c>
      <c r="N31" s="250">
        <v>181.89025807999997</v>
      </c>
      <c r="O31" s="250">
        <v>234.17589620999999</v>
      </c>
      <c r="P31" s="250">
        <v>274.63797060999997</v>
      </c>
      <c r="Q31" s="250">
        <v>217.70848233000001</v>
      </c>
      <c r="R31" s="250">
        <v>203.83355667388895</v>
      </c>
      <c r="S31" s="250">
        <v>183.09988115931995</v>
      </c>
      <c r="T31" s="250">
        <v>156.77930506999999</v>
      </c>
      <c r="U31" s="250">
        <v>179.47735080999996</v>
      </c>
      <c r="V31" s="251">
        <v>66.212066190000002</v>
      </c>
      <c r="W31" s="2"/>
      <c r="X31" s="9"/>
    </row>
    <row r="32" spans="2:24">
      <c r="B32" s="249" t="s">
        <v>261</v>
      </c>
      <c r="C32" s="252">
        <f t="shared" ref="C32:H32" si="20">SUM(C33:C40)</f>
        <v>150.37705082809822</v>
      </c>
      <c r="D32" s="250">
        <f t="shared" si="20"/>
        <v>176.72347724000002</v>
      </c>
      <c r="E32" s="250">
        <f t="shared" si="20"/>
        <v>262.17535500000002</v>
      </c>
      <c r="F32" s="250">
        <f t="shared" si="20"/>
        <v>243.00618554000002</v>
      </c>
      <c r="G32" s="250">
        <f t="shared" si="20"/>
        <v>228.51999999999998</v>
      </c>
      <c r="H32" s="250">
        <f t="shared" si="20"/>
        <v>278.35273989000001</v>
      </c>
      <c r="I32" s="250">
        <f t="shared" ref="I32:R32" si="21">SUM(I33:I40)</f>
        <v>302.19969803999999</v>
      </c>
      <c r="J32" s="250">
        <f t="shared" si="21"/>
        <v>379.01557111</v>
      </c>
      <c r="K32" s="250">
        <f t="shared" si="21"/>
        <v>347.59132629999993</v>
      </c>
      <c r="L32" s="250">
        <f t="shared" si="21"/>
        <v>384.53999999999996</v>
      </c>
      <c r="M32" s="250">
        <f t="shared" si="21"/>
        <v>410.42738555999989</v>
      </c>
      <c r="N32" s="250">
        <f t="shared" si="21"/>
        <v>479.94407199000005</v>
      </c>
      <c r="O32" s="250">
        <f t="shared" si="21"/>
        <v>504.78248028000007</v>
      </c>
      <c r="P32" s="250">
        <f t="shared" si="21"/>
        <v>540.25487977000012</v>
      </c>
      <c r="Q32" s="250">
        <f t="shared" si="21"/>
        <v>541.14290257999994</v>
      </c>
      <c r="R32" s="250">
        <f t="shared" si="21"/>
        <v>533.28807331999997</v>
      </c>
      <c r="S32" s="250">
        <f>SUM(S33:S40)</f>
        <v>543.51811926999994</v>
      </c>
      <c r="T32" s="250">
        <f>SUM(T33:T40)</f>
        <v>519.44759322999994</v>
      </c>
      <c r="U32" s="250">
        <f>SUM(U33:U40)</f>
        <v>539.84080911000001</v>
      </c>
      <c r="V32" s="251">
        <f>SUM(V33:V40)</f>
        <v>318.66082511000002</v>
      </c>
      <c r="W32" s="2"/>
      <c r="X32" s="9"/>
    </row>
    <row r="33" spans="1:24">
      <c r="B33" s="253" t="s">
        <v>251</v>
      </c>
      <c r="C33" s="252">
        <v>88.947698458023979</v>
      </c>
      <c r="D33" s="250">
        <v>110.38488386</v>
      </c>
      <c r="E33" s="250">
        <v>156.84107</v>
      </c>
      <c r="F33" s="250">
        <v>140.42910553999999</v>
      </c>
      <c r="G33" s="250">
        <v>127</v>
      </c>
      <c r="H33" s="250">
        <v>162.19979233000001</v>
      </c>
      <c r="I33" s="250">
        <v>177.85850697000001</v>
      </c>
      <c r="J33" s="250">
        <v>213.27427832000001</v>
      </c>
      <c r="K33" s="250">
        <v>213.97329969999998</v>
      </c>
      <c r="L33" s="250">
        <v>234.54</v>
      </c>
      <c r="M33" s="250">
        <v>230.42758032999998</v>
      </c>
      <c r="N33" s="250">
        <v>274.67782276000003</v>
      </c>
      <c r="O33" s="250">
        <v>278.45638969999999</v>
      </c>
      <c r="P33" s="250">
        <v>308.74676476000008</v>
      </c>
      <c r="Q33" s="250">
        <v>334.68302518999997</v>
      </c>
      <c r="R33" s="250">
        <v>349.75277220999999</v>
      </c>
      <c r="S33" s="250">
        <v>356.98494114999994</v>
      </c>
      <c r="T33" s="250">
        <v>347.26377618999999</v>
      </c>
      <c r="U33" s="250">
        <v>351.56567622</v>
      </c>
      <c r="V33" s="251">
        <v>193.24493430000001</v>
      </c>
      <c r="W33" s="2"/>
      <c r="X33" s="9"/>
    </row>
    <row r="34" spans="1:24">
      <c r="B34" s="253" t="s">
        <v>252</v>
      </c>
      <c r="C34" s="252">
        <v>1.9568360936607649</v>
      </c>
      <c r="D34" s="250">
        <v>4.3535150000000007</v>
      </c>
      <c r="E34" s="250">
        <v>1.53714</v>
      </c>
      <c r="F34" s="250">
        <v>0</v>
      </c>
      <c r="G34" s="250">
        <v>1.3</v>
      </c>
      <c r="H34" s="250">
        <v>4.9647500000000004</v>
      </c>
      <c r="I34" s="250">
        <v>2</v>
      </c>
      <c r="J34" s="250">
        <v>9.436375</v>
      </c>
      <c r="K34" s="250">
        <v>4.3139599999999998</v>
      </c>
      <c r="L34" s="250">
        <v>1.03</v>
      </c>
      <c r="M34" s="250">
        <v>3.1755484699999998</v>
      </c>
      <c r="N34" s="250">
        <v>29.254509849999998</v>
      </c>
      <c r="O34" s="250">
        <v>2.2323939500000001</v>
      </c>
      <c r="P34" s="250">
        <v>1.4299120000000001</v>
      </c>
      <c r="Q34" s="250">
        <v>0</v>
      </c>
      <c r="R34" s="250">
        <v>0.15906500000000001</v>
      </c>
      <c r="S34" s="250">
        <v>0.88494691999999997</v>
      </c>
      <c r="T34" s="250">
        <v>0.26976924000000002</v>
      </c>
      <c r="U34" s="250">
        <v>0.81477500000000003</v>
      </c>
      <c r="V34" s="251">
        <v>0</v>
      </c>
      <c r="W34" s="2"/>
      <c r="X34" s="9"/>
    </row>
    <row r="35" spans="1:24">
      <c r="B35" s="253" t="s">
        <v>253</v>
      </c>
      <c r="C35" s="252">
        <v>46.336836093660764</v>
      </c>
      <c r="D35" s="250">
        <v>8.685868000000001</v>
      </c>
      <c r="E35" s="250">
        <v>4</v>
      </c>
      <c r="F35" s="250">
        <v>0</v>
      </c>
      <c r="G35" s="250">
        <v>3.2</v>
      </c>
      <c r="H35" s="250">
        <v>18.007596039999999</v>
      </c>
      <c r="I35" s="250">
        <v>18.609607930000003</v>
      </c>
      <c r="J35" s="250">
        <v>33.269238680000001</v>
      </c>
      <c r="K35" s="250">
        <v>16.261948999999998</v>
      </c>
      <c r="L35" s="250">
        <v>5.33</v>
      </c>
      <c r="M35" s="250">
        <v>0</v>
      </c>
      <c r="N35" s="250">
        <v>1.08840757</v>
      </c>
      <c r="O35" s="250">
        <v>0</v>
      </c>
      <c r="P35" s="250">
        <v>6.4669310999999992</v>
      </c>
      <c r="Q35" s="250">
        <v>0</v>
      </c>
      <c r="R35" s="250">
        <v>0</v>
      </c>
      <c r="S35" s="250">
        <v>0.45282506</v>
      </c>
      <c r="T35" s="250">
        <v>2.4173211700000001</v>
      </c>
      <c r="U35" s="250">
        <v>2.7829587600000001</v>
      </c>
      <c r="V35" s="251">
        <v>1.5814142499999999</v>
      </c>
      <c r="W35" s="2"/>
      <c r="X35" s="9"/>
    </row>
    <row r="36" spans="1:24">
      <c r="B36" s="253" t="s">
        <v>262</v>
      </c>
      <c r="C36" s="252">
        <v>9.8505859508852058</v>
      </c>
      <c r="D36" s="250">
        <v>15.090811009999999</v>
      </c>
      <c r="E36" s="250">
        <v>28.14</v>
      </c>
      <c r="F36" s="250">
        <v>31.833600000000004</v>
      </c>
      <c r="G36" s="250">
        <v>19.3</v>
      </c>
      <c r="H36" s="250">
        <v>24.33653443</v>
      </c>
      <c r="I36" s="250">
        <v>14.41885448</v>
      </c>
      <c r="J36" s="250">
        <v>22.929793010000004</v>
      </c>
      <c r="K36" s="250">
        <v>15.926770920000001</v>
      </c>
      <c r="L36" s="250">
        <v>18</v>
      </c>
      <c r="M36" s="250">
        <v>36.903997539999999</v>
      </c>
      <c r="N36" s="250">
        <v>32.873066340000001</v>
      </c>
      <c r="O36" s="250">
        <v>77.619223989999995</v>
      </c>
      <c r="P36" s="250">
        <v>77.081140350000013</v>
      </c>
      <c r="Q36" s="250">
        <v>70.831292179999991</v>
      </c>
      <c r="R36" s="250">
        <v>45.451673599999992</v>
      </c>
      <c r="S36" s="250">
        <v>45.026160409999996</v>
      </c>
      <c r="T36" s="250">
        <v>27.265385670000001</v>
      </c>
      <c r="U36" s="250">
        <v>27.299781380000002</v>
      </c>
      <c r="V36" s="251">
        <v>25.494228979999999</v>
      </c>
      <c r="W36" s="2"/>
      <c r="X36" s="9"/>
    </row>
    <row r="37" spans="1:24">
      <c r="B37" s="253" t="s">
        <v>263</v>
      </c>
      <c r="C37" s="252">
        <v>0.59223300970873782</v>
      </c>
      <c r="D37" s="250">
        <v>0</v>
      </c>
      <c r="E37" s="250">
        <v>1.5</v>
      </c>
      <c r="F37" s="250">
        <v>2.5567799999999998</v>
      </c>
      <c r="G37" s="250">
        <v>9.42</v>
      </c>
      <c r="H37" s="250">
        <v>1.02611349</v>
      </c>
      <c r="I37" s="250">
        <v>24.50371466</v>
      </c>
      <c r="J37" s="250">
        <v>23.8480259</v>
      </c>
      <c r="K37" s="250">
        <v>35.765323259999988</v>
      </c>
      <c r="L37" s="250">
        <v>48.22</v>
      </c>
      <c r="M37" s="250">
        <v>54.896747609999998</v>
      </c>
      <c r="N37" s="250">
        <v>47.258075929999997</v>
      </c>
      <c r="O37" s="250">
        <v>53.884379889999998</v>
      </c>
      <c r="P37" s="250">
        <v>56.397614879999999</v>
      </c>
      <c r="Q37" s="250">
        <v>61.691427930000003</v>
      </c>
      <c r="R37" s="250">
        <v>58.637915340000006</v>
      </c>
      <c r="S37" s="250">
        <v>53.232985529999986</v>
      </c>
      <c r="T37" s="250">
        <v>64.303987920000012</v>
      </c>
      <c r="U37" s="250">
        <v>57.102655779999992</v>
      </c>
      <c r="V37" s="251">
        <v>32.066608330000001</v>
      </c>
      <c r="W37" s="2"/>
      <c r="X37" s="9"/>
    </row>
    <row r="38" spans="1:24">
      <c r="B38" s="253" t="s">
        <v>264</v>
      </c>
      <c r="C38" s="252">
        <v>0</v>
      </c>
      <c r="D38" s="250">
        <v>37.930305369999999</v>
      </c>
      <c r="E38" s="250">
        <v>0</v>
      </c>
      <c r="F38" s="250">
        <v>0</v>
      </c>
      <c r="G38" s="250">
        <v>0</v>
      </c>
      <c r="H38" s="250">
        <v>0</v>
      </c>
      <c r="I38" s="250">
        <v>0</v>
      </c>
      <c r="J38" s="250">
        <v>0</v>
      </c>
      <c r="K38" s="250">
        <v>0</v>
      </c>
      <c r="L38" s="250">
        <v>7.9</v>
      </c>
      <c r="M38" s="250">
        <v>11.432955999999999</v>
      </c>
      <c r="N38" s="250">
        <v>15.019146340000001</v>
      </c>
      <c r="O38" s="250">
        <v>19.054197410000004</v>
      </c>
      <c r="P38" s="250">
        <v>2.7333812499999999</v>
      </c>
      <c r="Q38" s="250">
        <v>0</v>
      </c>
      <c r="R38" s="250">
        <v>2.2999999999999998</v>
      </c>
      <c r="S38" s="250">
        <v>0</v>
      </c>
      <c r="T38" s="250">
        <v>2.704135</v>
      </c>
      <c r="U38" s="250">
        <v>10.377895000000002</v>
      </c>
      <c r="V38" s="251">
        <v>10.588150000000001</v>
      </c>
      <c r="W38" s="2"/>
      <c r="X38" s="9"/>
    </row>
    <row r="39" spans="1:24">
      <c r="B39" s="253" t="s">
        <v>265</v>
      </c>
      <c r="C39" s="252">
        <v>2.6928612221587667</v>
      </c>
      <c r="D39" s="250">
        <v>0.27809400000000001</v>
      </c>
      <c r="E39" s="250">
        <v>0.45714500000000002</v>
      </c>
      <c r="F39" s="250">
        <v>0</v>
      </c>
      <c r="G39" s="250">
        <v>1.2</v>
      </c>
      <c r="H39" s="250">
        <v>1.4519700000000002</v>
      </c>
      <c r="I39" s="250">
        <v>1.602624</v>
      </c>
      <c r="J39" s="250">
        <v>0.84285999999999994</v>
      </c>
      <c r="K39" s="250">
        <v>0.84285999999999994</v>
      </c>
      <c r="L39" s="250">
        <v>1</v>
      </c>
      <c r="M39" s="250">
        <v>0.34286</v>
      </c>
      <c r="N39" s="250">
        <v>0</v>
      </c>
      <c r="O39" s="250">
        <v>0.46700000000000003</v>
      </c>
      <c r="P39" s="250">
        <v>1.2901400000000001</v>
      </c>
      <c r="Q39" s="250">
        <v>0</v>
      </c>
      <c r="R39" s="250">
        <v>0</v>
      </c>
      <c r="S39" s="250">
        <v>0</v>
      </c>
      <c r="T39" s="250">
        <v>0</v>
      </c>
      <c r="U39" s="250">
        <v>0</v>
      </c>
      <c r="V39" s="251">
        <v>0</v>
      </c>
      <c r="W39" s="2"/>
      <c r="X39" s="9"/>
    </row>
    <row r="40" spans="1:24">
      <c r="B40" s="253" t="s">
        <v>266</v>
      </c>
      <c r="C40" s="252"/>
      <c r="D40" s="250">
        <v>0</v>
      </c>
      <c r="E40" s="250">
        <v>69.7</v>
      </c>
      <c r="F40" s="250">
        <v>68.186700000000002</v>
      </c>
      <c r="G40" s="250">
        <v>67.099999999999994</v>
      </c>
      <c r="H40" s="250">
        <v>66.365983600000007</v>
      </c>
      <c r="I40" s="250">
        <v>63.206389999999992</v>
      </c>
      <c r="J40" s="250">
        <v>75.415000199999994</v>
      </c>
      <c r="K40" s="250">
        <v>60.507163419999998</v>
      </c>
      <c r="L40" s="250">
        <v>68.52</v>
      </c>
      <c r="M40" s="250">
        <v>73.247695609999994</v>
      </c>
      <c r="N40" s="250">
        <v>79.773043200000004</v>
      </c>
      <c r="O40" s="250">
        <v>73.068895340000012</v>
      </c>
      <c r="P40" s="250">
        <v>86.108995430000007</v>
      </c>
      <c r="Q40" s="250">
        <v>73.937157279999994</v>
      </c>
      <c r="R40" s="250">
        <v>76.986647169999998</v>
      </c>
      <c r="S40" s="250">
        <v>86.936260200000007</v>
      </c>
      <c r="T40" s="250">
        <v>75.223218040000006</v>
      </c>
      <c r="U40" s="250">
        <v>89.897066970000012</v>
      </c>
      <c r="V40" s="251">
        <v>55.685489250000003</v>
      </c>
      <c r="W40" s="2"/>
      <c r="X40" s="9"/>
    </row>
    <row r="41" spans="1:24" ht="18" customHeight="1">
      <c r="B41" s="248" t="s">
        <v>267</v>
      </c>
      <c r="C41" s="244">
        <f t="shared" ref="C41:H41" si="22">SUM(C42:C46)</f>
        <v>-12.822794174757279</v>
      </c>
      <c r="D41" s="245">
        <f t="shared" si="22"/>
        <v>-7.7348989559999994</v>
      </c>
      <c r="E41" s="245">
        <f t="shared" si="22"/>
        <v>0.3000000000000001</v>
      </c>
      <c r="F41" s="245">
        <f t="shared" si="22"/>
        <v>-5.8008971700000007</v>
      </c>
      <c r="G41" s="245">
        <f t="shared" si="22"/>
        <v>-22.09</v>
      </c>
      <c r="H41" s="245">
        <f t="shared" si="22"/>
        <v>-10.656811020000001</v>
      </c>
      <c r="I41" s="245">
        <f t="shared" ref="I41:S41" si="23">SUM(I42:I46)</f>
        <v>-15.782362750000001</v>
      </c>
      <c r="J41" s="245">
        <f t="shared" si="23"/>
        <v>-11.27692966</v>
      </c>
      <c r="K41" s="245">
        <f t="shared" si="23"/>
        <v>-6.2616272999999998</v>
      </c>
      <c r="L41" s="245">
        <f t="shared" si="23"/>
        <v>-4.6000000000000005</v>
      </c>
      <c r="M41" s="245">
        <f t="shared" si="23"/>
        <v>-2.8463965999999998</v>
      </c>
      <c r="N41" s="245">
        <f t="shared" si="23"/>
        <v>-6.6451370599999988</v>
      </c>
      <c r="O41" s="245">
        <f t="shared" si="23"/>
        <v>3.9023593800000005</v>
      </c>
      <c r="P41" s="245">
        <f t="shared" si="23"/>
        <v>10.238269890000007</v>
      </c>
      <c r="Q41" s="245">
        <f t="shared" si="23"/>
        <v>-3.2896792599999998</v>
      </c>
      <c r="R41" s="245">
        <f t="shared" si="23"/>
        <v>-0.62140445</v>
      </c>
      <c r="S41" s="245">
        <f t="shared" si="23"/>
        <v>-0.66305433000000003</v>
      </c>
      <c r="T41" s="245">
        <f t="shared" ref="T41:U41" si="24">SUM(T42:T46)</f>
        <v>-11.002014170000002</v>
      </c>
      <c r="U41" s="245">
        <f t="shared" si="24"/>
        <v>-0.23444100000000001</v>
      </c>
      <c r="V41" s="247">
        <f t="shared" ref="V41" si="25">SUM(V42:V46)</f>
        <v>-4.6551850000000006E-2</v>
      </c>
      <c r="W41" s="2"/>
      <c r="X41" s="9"/>
    </row>
    <row r="42" spans="1:24">
      <c r="A42" s="254"/>
      <c r="B42" s="249" t="s">
        <v>251</v>
      </c>
      <c r="C42" s="252">
        <v>-9.2315495145631044</v>
      </c>
      <c r="D42" s="250">
        <v>-11.082469</v>
      </c>
      <c r="E42" s="250">
        <v>-2.9</v>
      </c>
      <c r="F42" s="250">
        <v>-3.0750000000000002</v>
      </c>
      <c r="G42" s="250">
        <v>-3.5</v>
      </c>
      <c r="H42" s="250">
        <v>-3.44</v>
      </c>
      <c r="I42" s="250">
        <v>-3.63639</v>
      </c>
      <c r="J42" s="250">
        <v>-5.4829652200000005</v>
      </c>
      <c r="K42" s="250">
        <v>-4.5141844099999995</v>
      </c>
      <c r="L42" s="250">
        <v>-2.6</v>
      </c>
      <c r="M42" s="250">
        <v>-1.3089476100000002</v>
      </c>
      <c r="N42" s="250">
        <v>-5.2383638099999992</v>
      </c>
      <c r="O42" s="250">
        <v>-6.15154522</v>
      </c>
      <c r="P42" s="250">
        <v>-5.6908352200000003</v>
      </c>
      <c r="Q42" s="250">
        <v>-2.18178633</v>
      </c>
      <c r="R42" s="250">
        <v>-0.21631511</v>
      </c>
      <c r="S42" s="250">
        <v>-1.8572499999999995E-2</v>
      </c>
      <c r="T42" s="250">
        <v>-2.8666100000000007E-2</v>
      </c>
      <c r="U42" s="250">
        <v>-0.14395216</v>
      </c>
      <c r="V42" s="251">
        <v>-3.4126320000000002E-2</v>
      </c>
      <c r="W42" s="2"/>
      <c r="X42" s="9"/>
    </row>
    <row r="43" spans="1:24">
      <c r="A43" s="254"/>
      <c r="B43" s="249" t="s">
        <v>252</v>
      </c>
      <c r="C43" s="252">
        <v>-3.2757929183323813</v>
      </c>
      <c r="D43" s="250">
        <v>3.5626108699999994</v>
      </c>
      <c r="E43" s="250">
        <v>3.5</v>
      </c>
      <c r="F43" s="250">
        <v>-2.087453</v>
      </c>
      <c r="G43" s="250">
        <v>-18.2</v>
      </c>
      <c r="H43" s="250">
        <v>-5.8431553300000001</v>
      </c>
      <c r="I43" s="250">
        <v>-11.45543075</v>
      </c>
      <c r="J43" s="250">
        <v>-4.9549331199999997</v>
      </c>
      <c r="K43" s="250">
        <v>-1.13354753</v>
      </c>
      <c r="L43" s="250">
        <v>-1.1000000000000001</v>
      </c>
      <c r="M43" s="250">
        <v>-1.03410252</v>
      </c>
      <c r="N43" s="250">
        <v>-1.1131071299999999</v>
      </c>
      <c r="O43" s="250">
        <v>10.5213128</v>
      </c>
      <c r="P43" s="250">
        <v>16.503082780000007</v>
      </c>
      <c r="Q43" s="250">
        <v>-0.63475104000000004</v>
      </c>
      <c r="R43" s="250">
        <v>-0.16916714999999999</v>
      </c>
      <c r="S43" s="250">
        <v>-0.16898024</v>
      </c>
      <c r="T43" s="250">
        <v>-10.605690000000001</v>
      </c>
      <c r="U43" s="250">
        <v>0</v>
      </c>
      <c r="V43" s="251">
        <v>0</v>
      </c>
      <c r="W43" s="2"/>
      <c r="X43" s="9"/>
    </row>
    <row r="44" spans="1:24">
      <c r="A44" s="254"/>
      <c r="B44" s="249" t="s">
        <v>253</v>
      </c>
      <c r="C44" s="252">
        <v>-1.1422044545973729E-2</v>
      </c>
      <c r="D44" s="250">
        <v>-0.180412236</v>
      </c>
      <c r="E44" s="250">
        <v>-0.1</v>
      </c>
      <c r="F44" s="250">
        <v>-0.42247499999999999</v>
      </c>
      <c r="G44" s="250">
        <v>0.05</v>
      </c>
      <c r="H44" s="250">
        <v>-1.1011611700000001</v>
      </c>
      <c r="I44" s="250">
        <v>-9.6128069999999996E-2</v>
      </c>
      <c r="J44" s="250">
        <v>-0.17024698999999999</v>
      </c>
      <c r="K44" s="250">
        <v>-8.0816840000000001E-2</v>
      </c>
      <c r="L44" s="250">
        <v>-0.1</v>
      </c>
      <c r="M44" s="250">
        <v>0</v>
      </c>
      <c r="N44" s="250">
        <v>0</v>
      </c>
      <c r="O44" s="250">
        <v>0</v>
      </c>
      <c r="P44" s="250">
        <v>-0.11427866</v>
      </c>
      <c r="Q44" s="250">
        <v>0</v>
      </c>
      <c r="R44" s="250">
        <v>0</v>
      </c>
      <c r="S44" s="250">
        <v>-2.3316859999999998E-2</v>
      </c>
      <c r="T44" s="250">
        <v>-6.7709299999999997E-3</v>
      </c>
      <c r="U44" s="250">
        <v>-1.32716E-2</v>
      </c>
      <c r="V44" s="251">
        <v>-1.2425530000000001E-2</v>
      </c>
      <c r="W44" s="2"/>
      <c r="X44" s="9"/>
    </row>
    <row r="45" spans="1:24">
      <c r="A45" s="254"/>
      <c r="B45" s="249" t="s">
        <v>254</v>
      </c>
      <c r="C45" s="252">
        <v>-0.30402969731581952</v>
      </c>
      <c r="D45" s="250">
        <v>-3.4628590000000001E-2</v>
      </c>
      <c r="E45" s="250">
        <v>-0.2</v>
      </c>
      <c r="F45" s="250">
        <v>-0.21596916999999999</v>
      </c>
      <c r="G45" s="250">
        <v>-0.44</v>
      </c>
      <c r="H45" s="250">
        <v>-0.27249452000000002</v>
      </c>
      <c r="I45" s="250">
        <v>-0.59441392999999998</v>
      </c>
      <c r="J45" s="250">
        <v>-0.66878433000000004</v>
      </c>
      <c r="K45" s="250">
        <v>-0.53307852</v>
      </c>
      <c r="L45" s="250">
        <v>-0.8</v>
      </c>
      <c r="M45" s="250">
        <v>-0.50334646999999999</v>
      </c>
      <c r="N45" s="250">
        <v>-0.29366611999999997</v>
      </c>
      <c r="O45" s="250">
        <v>-0.46740820000000005</v>
      </c>
      <c r="P45" s="250">
        <v>-0.45969901000000002</v>
      </c>
      <c r="Q45" s="250">
        <v>-0.47314188999999995</v>
      </c>
      <c r="R45" s="250">
        <v>-0.23592219</v>
      </c>
      <c r="S45" s="250">
        <v>-0.45218473000000003</v>
      </c>
      <c r="T45" s="250">
        <v>-0.36088714</v>
      </c>
      <c r="U45" s="250">
        <v>-7.7217240000000006E-2</v>
      </c>
      <c r="V45" s="251">
        <v>0</v>
      </c>
      <c r="W45" s="2"/>
      <c r="X45" s="9"/>
    </row>
    <row r="46" spans="1:24">
      <c r="A46" s="254"/>
      <c r="B46" s="249" t="s">
        <v>268</v>
      </c>
      <c r="C46" s="252"/>
      <c r="D46" s="250"/>
      <c r="E46" s="250"/>
      <c r="F46" s="250"/>
      <c r="G46" s="250"/>
      <c r="H46" s="250"/>
      <c r="I46" s="250"/>
      <c r="J46" s="250"/>
      <c r="K46" s="250"/>
      <c r="L46" s="250"/>
      <c r="M46" s="250">
        <v>0</v>
      </c>
      <c r="N46" s="250">
        <v>0</v>
      </c>
      <c r="O46" s="250">
        <v>0</v>
      </c>
      <c r="P46" s="250">
        <v>0</v>
      </c>
      <c r="Q46" s="250">
        <v>0</v>
      </c>
      <c r="R46" s="250">
        <v>0</v>
      </c>
      <c r="S46" s="250">
        <v>0</v>
      </c>
      <c r="T46" s="250">
        <v>0</v>
      </c>
      <c r="U46" s="250">
        <v>0</v>
      </c>
      <c r="V46" s="251">
        <v>0</v>
      </c>
      <c r="W46" s="2"/>
      <c r="X46" s="9"/>
    </row>
    <row r="47" spans="1:24" ht="24.95" customHeight="1">
      <c r="B47" s="243" t="s">
        <v>269</v>
      </c>
      <c r="C47" s="244">
        <f t="shared" ref="C47:H47" si="26">C9-C16</f>
        <v>-88.682488635065738</v>
      </c>
      <c r="D47" s="245">
        <f t="shared" si="26"/>
        <v>6.9150278009999511</v>
      </c>
      <c r="E47" s="245">
        <f t="shared" si="26"/>
        <v>130.54362280500004</v>
      </c>
      <c r="F47" s="245">
        <f t="shared" si="26"/>
        <v>77.984193479999931</v>
      </c>
      <c r="G47" s="245">
        <f t="shared" si="26"/>
        <v>143.25999999999976</v>
      </c>
      <c r="H47" s="245">
        <f t="shared" si="26"/>
        <v>255.46372011499989</v>
      </c>
      <c r="I47" s="245">
        <f t="shared" ref="I47:S47" si="27">I9-I16</f>
        <v>406.67008241099984</v>
      </c>
      <c r="J47" s="245">
        <f t="shared" si="27"/>
        <v>437.82762327729097</v>
      </c>
      <c r="K47" s="245">
        <f t="shared" si="27"/>
        <v>337.20855565599959</v>
      </c>
      <c r="L47" s="245">
        <f t="shared" si="27"/>
        <v>-228.4004892199996</v>
      </c>
      <c r="M47" s="245">
        <f t="shared" si="27"/>
        <v>-9.6071399699999347</v>
      </c>
      <c r="N47" s="245">
        <f t="shared" si="27"/>
        <v>44.529565020000064</v>
      </c>
      <c r="O47" s="245">
        <f t="shared" si="27"/>
        <v>311.86035575999995</v>
      </c>
      <c r="P47" s="245">
        <f t="shared" si="27"/>
        <v>354.19207444500034</v>
      </c>
      <c r="Q47" s="245">
        <f t="shared" si="27"/>
        <v>335.49823452999999</v>
      </c>
      <c r="R47" s="245">
        <f t="shared" si="27"/>
        <v>419.27752149199932</v>
      </c>
      <c r="S47" s="245">
        <f t="shared" si="27"/>
        <v>520.44390412200164</v>
      </c>
      <c r="T47" s="245">
        <f t="shared" ref="T47:U47" si="28">T9-T16</f>
        <v>699.70564052399914</v>
      </c>
      <c r="U47" s="245">
        <f t="shared" si="28"/>
        <v>460.29701521299921</v>
      </c>
      <c r="V47" s="247">
        <f t="shared" ref="V47" si="29">V9-V16</f>
        <v>389.5746909909999</v>
      </c>
      <c r="W47" s="2"/>
      <c r="X47" s="9"/>
    </row>
    <row r="48" spans="1:24" ht="36" customHeight="1">
      <c r="B48" s="255" t="s">
        <v>270</v>
      </c>
      <c r="C48" s="245">
        <f t="shared" ref="C48:L48" si="30">C50+C19</f>
        <v>-150.14968646487711</v>
      </c>
      <c r="D48" s="245">
        <f t="shared" si="30"/>
        <v>-150.24130227299989</v>
      </c>
      <c r="E48" s="245">
        <f t="shared" si="30"/>
        <v>28.628267805000235</v>
      </c>
      <c r="F48" s="245">
        <f t="shared" si="30"/>
        <v>48.576648850000311</v>
      </c>
      <c r="G48" s="245">
        <f t="shared" si="30"/>
        <v>162.33000000000004</v>
      </c>
      <c r="H48" s="245">
        <f t="shared" si="30"/>
        <v>205.35212415499996</v>
      </c>
      <c r="I48" s="245">
        <f t="shared" si="30"/>
        <v>357.48103922999974</v>
      </c>
      <c r="J48" s="245">
        <f t="shared" si="30"/>
        <v>407.85488140529122</v>
      </c>
      <c r="K48" s="245">
        <f t="shared" si="30"/>
        <v>301.2873453699998</v>
      </c>
      <c r="L48" s="245">
        <f t="shared" si="30"/>
        <v>-246.5522462499996</v>
      </c>
      <c r="M48" s="245">
        <f>M50+M19</f>
        <v>-102.80096921000001</v>
      </c>
      <c r="N48" s="245">
        <f t="shared" ref="N48:S48" si="31">N50+N19</f>
        <v>-64.652675680000186</v>
      </c>
      <c r="O48" s="245">
        <f t="shared" si="31"/>
        <v>120.49325475999956</v>
      </c>
      <c r="P48" s="245">
        <f t="shared" si="31"/>
        <v>137.07268378500009</v>
      </c>
      <c r="Q48" s="245">
        <f t="shared" si="31"/>
        <v>186.70350434000056</v>
      </c>
      <c r="R48" s="245">
        <f t="shared" si="31"/>
        <v>327.08836148711055</v>
      </c>
      <c r="S48" s="245">
        <f t="shared" si="31"/>
        <v>472.23942056268208</v>
      </c>
      <c r="T48" s="245">
        <f t="shared" ref="T48:U48" si="32">T50+T19</f>
        <v>810.78062976399895</v>
      </c>
      <c r="U48" s="245">
        <f t="shared" si="32"/>
        <v>630.97720899299952</v>
      </c>
      <c r="V48" s="247">
        <f t="shared" ref="V48" si="33">V50+V19</f>
        <v>480.45417254099982</v>
      </c>
      <c r="W48" s="2"/>
      <c r="X48" s="9"/>
    </row>
    <row r="49" spans="1:24" ht="24.95" customHeight="1">
      <c r="B49" s="243" t="s">
        <v>271</v>
      </c>
      <c r="C49" s="252"/>
      <c r="D49" s="250"/>
      <c r="E49" s="250"/>
      <c r="F49" s="250"/>
      <c r="G49" s="250"/>
      <c r="H49" s="250"/>
      <c r="I49" s="250"/>
      <c r="J49" s="250"/>
      <c r="K49" s="250"/>
      <c r="L49" s="250"/>
      <c r="M49" s="250"/>
      <c r="N49" s="250"/>
      <c r="O49" s="250"/>
      <c r="P49" s="250"/>
      <c r="Q49" s="250"/>
      <c r="R49" s="250"/>
      <c r="S49" s="250"/>
      <c r="T49" s="250"/>
      <c r="U49" s="250"/>
      <c r="V49" s="251"/>
      <c r="W49" s="2"/>
      <c r="X49" s="9"/>
    </row>
    <row r="50" spans="1:24" ht="18" customHeight="1">
      <c r="B50" s="248" t="s">
        <v>272</v>
      </c>
      <c r="C50" s="244">
        <f t="shared" ref="C50:H50" si="34">C8-C15</f>
        <v>-330.26950371216435</v>
      </c>
      <c r="D50" s="245">
        <f t="shared" si="34"/>
        <v>-323.00303148299986</v>
      </c>
      <c r="E50" s="245">
        <f t="shared" si="34"/>
        <v>-195.17173219499978</v>
      </c>
      <c r="F50" s="245">
        <f t="shared" si="34"/>
        <v>-241.1289471499997</v>
      </c>
      <c r="G50" s="245">
        <f t="shared" si="34"/>
        <v>-157.76999999999998</v>
      </c>
      <c r="H50" s="245">
        <f t="shared" si="34"/>
        <v>-165.76676317500005</v>
      </c>
      <c r="I50" s="245">
        <f t="shared" ref="I50:S50" si="35">I8-I15</f>
        <v>-89.475610319000225</v>
      </c>
      <c r="J50" s="245">
        <f t="shared" si="35"/>
        <v>-90.31196238470875</v>
      </c>
      <c r="K50" s="245">
        <f t="shared" si="35"/>
        <v>-208.13741357000026</v>
      </c>
      <c r="L50" s="245">
        <f t="shared" si="35"/>
        <v>-763.25224624999964</v>
      </c>
      <c r="M50" s="245">
        <f t="shared" si="35"/>
        <v>-594.97087276000002</v>
      </c>
      <c r="N50" s="245">
        <f t="shared" si="35"/>
        <v>-567.50634582000021</v>
      </c>
      <c r="O50" s="245">
        <f t="shared" si="35"/>
        <v>-400.84441015000039</v>
      </c>
      <c r="P50" s="245">
        <f t="shared" si="35"/>
        <v>-445.62741281499984</v>
      </c>
      <c r="Q50" s="245">
        <f t="shared" si="35"/>
        <v>-405.99856296999951</v>
      </c>
      <c r="R50" s="245">
        <f t="shared" si="35"/>
        <v>-291.41222988188929</v>
      </c>
      <c r="S50" s="245">
        <f t="shared" si="35"/>
        <v>-183.57401327731804</v>
      </c>
      <c r="T50" s="245">
        <f t="shared" ref="T50:U50" si="36">T8-T15</f>
        <v>51.510344203999011</v>
      </c>
      <c r="U50" s="245">
        <f t="shared" si="36"/>
        <v>-246.0554048970007</v>
      </c>
      <c r="V50" s="247">
        <f t="shared" ref="V50" si="37">V8-V15</f>
        <v>11.661604650999834</v>
      </c>
      <c r="W50" s="2"/>
      <c r="X50" s="9"/>
    </row>
    <row r="51" spans="1:24" ht="18" customHeight="1">
      <c r="B51" s="248" t="s">
        <v>273</v>
      </c>
      <c r="C51" s="244">
        <f t="shared" ref="C51:H51" si="38">C50-C14</f>
        <v>-407.29314734437452</v>
      </c>
      <c r="D51" s="245">
        <f t="shared" si="38"/>
        <v>-355.13355048299985</v>
      </c>
      <c r="E51" s="245">
        <f t="shared" si="38"/>
        <v>-213.67173219499978</v>
      </c>
      <c r="F51" s="245">
        <f t="shared" si="38"/>
        <v>-290.4872748899997</v>
      </c>
      <c r="G51" s="245">
        <f t="shared" si="38"/>
        <v>-181.67</v>
      </c>
      <c r="H51" s="245">
        <f t="shared" si="38"/>
        <v>-172.40556624500005</v>
      </c>
      <c r="I51" s="245">
        <f t="shared" ref="I51:S51" si="39">I50-I14</f>
        <v>-98.558955679000221</v>
      </c>
      <c r="J51" s="245">
        <f t="shared" si="39"/>
        <v>-112.28133329470876</v>
      </c>
      <c r="K51" s="245">
        <f t="shared" si="39"/>
        <v>-237.24706482000025</v>
      </c>
      <c r="L51" s="245">
        <f t="shared" si="39"/>
        <v>-782.22080694999966</v>
      </c>
      <c r="M51" s="245">
        <f t="shared" si="39"/>
        <v>-611.53609176999998</v>
      </c>
      <c r="N51" s="245">
        <f t="shared" si="39"/>
        <v>-610.49663612000018</v>
      </c>
      <c r="O51" s="245">
        <f t="shared" si="39"/>
        <v>-430.82364711000037</v>
      </c>
      <c r="P51" s="245">
        <f t="shared" si="39"/>
        <v>-470.92849182499987</v>
      </c>
      <c r="Q51" s="245">
        <f t="shared" si="39"/>
        <v>-420.02664251999948</v>
      </c>
      <c r="R51" s="245">
        <f t="shared" si="39"/>
        <v>-317.22270405188931</v>
      </c>
      <c r="S51" s="245">
        <f t="shared" si="39"/>
        <v>-205.44153933731803</v>
      </c>
      <c r="T51" s="245">
        <f t="shared" ref="T51:U51" si="40">T50-T14</f>
        <v>34.480756393999009</v>
      </c>
      <c r="U51" s="245">
        <f t="shared" si="40"/>
        <v>-258.7867037070007</v>
      </c>
      <c r="V51" s="247">
        <f t="shared" ref="V51" si="41">V50-V14</f>
        <v>4.7483515409998356</v>
      </c>
      <c r="W51" s="2"/>
      <c r="X51" s="9"/>
    </row>
    <row r="52" spans="1:24" ht="18" customHeight="1">
      <c r="B52" s="256" t="s">
        <v>274</v>
      </c>
      <c r="C52" s="257">
        <f t="shared" ref="C52:H52" si="42">C50-C75</f>
        <v>-330.26950371216435</v>
      </c>
      <c r="D52" s="258">
        <f t="shared" si="42"/>
        <v>-323.00303148299986</v>
      </c>
      <c r="E52" s="258">
        <f t="shared" si="42"/>
        <v>-195.17173219499978</v>
      </c>
      <c r="F52" s="258">
        <f t="shared" si="42"/>
        <v>-241.1289471499997</v>
      </c>
      <c r="G52" s="258">
        <f t="shared" si="42"/>
        <v>-157.76999999999998</v>
      </c>
      <c r="H52" s="258">
        <f t="shared" si="42"/>
        <v>-165.76676317500005</v>
      </c>
      <c r="I52" s="258">
        <f t="shared" ref="I52:S52" si="43">I50-I75</f>
        <v>-89.475610319000225</v>
      </c>
      <c r="J52" s="258">
        <f t="shared" si="43"/>
        <v>-90.31196238470875</v>
      </c>
      <c r="K52" s="258">
        <f t="shared" si="43"/>
        <v>-208.13741357000026</v>
      </c>
      <c r="L52" s="258">
        <f t="shared" si="43"/>
        <v>-763.25224624999964</v>
      </c>
      <c r="M52" s="258">
        <f t="shared" si="43"/>
        <v>-952.11060038000005</v>
      </c>
      <c r="N52" s="258">
        <f t="shared" si="43"/>
        <v>-973.09523516000013</v>
      </c>
      <c r="O52" s="258">
        <f t="shared" si="43"/>
        <v>-820.19097879000037</v>
      </c>
      <c r="P52" s="258">
        <f t="shared" si="43"/>
        <v>-887.89765178499988</v>
      </c>
      <c r="Q52" s="258">
        <f t="shared" si="43"/>
        <v>-872.98453988199958</v>
      </c>
      <c r="R52" s="258">
        <f t="shared" si="43"/>
        <v>-776.62245751188925</v>
      </c>
      <c r="S52" s="258">
        <f t="shared" si="43"/>
        <v>-703.45835830731812</v>
      </c>
      <c r="T52" s="258">
        <f t="shared" ref="T52:U52" si="44">T50-T75</f>
        <v>-508.87659810600098</v>
      </c>
      <c r="U52" s="258">
        <f t="shared" si="44"/>
        <v>-612.05290276700066</v>
      </c>
      <c r="V52" s="259">
        <f t="shared" ref="V52" si="45">V50-V75</f>
        <v>-151.70690560900016</v>
      </c>
      <c r="W52" s="2"/>
      <c r="X52" s="9"/>
    </row>
    <row r="53" spans="1:24" ht="24.95" customHeight="1">
      <c r="A53" s="254"/>
      <c r="B53" s="25" t="s">
        <v>275</v>
      </c>
      <c r="C53" s="260">
        <f t="shared" ref="C53:H53" si="46">SUM(C54:C55)</f>
        <v>0</v>
      </c>
      <c r="D53" s="261">
        <f t="shared" si="46"/>
        <v>0</v>
      </c>
      <c r="E53" s="261">
        <f t="shared" si="46"/>
        <v>0</v>
      </c>
      <c r="F53" s="261">
        <f t="shared" si="46"/>
        <v>0</v>
      </c>
      <c r="G53" s="261">
        <f t="shared" si="46"/>
        <v>0</v>
      </c>
      <c r="H53" s="261">
        <f t="shared" si="46"/>
        <v>0</v>
      </c>
      <c r="I53" s="261">
        <f t="shared" ref="I53:T53" si="47">SUM(I54:I55)</f>
        <v>0</v>
      </c>
      <c r="J53" s="261">
        <f t="shared" si="47"/>
        <v>0</v>
      </c>
      <c r="K53" s="261">
        <f t="shared" si="47"/>
        <v>0</v>
      </c>
      <c r="L53" s="261">
        <f t="shared" si="47"/>
        <v>707.13325517999988</v>
      </c>
      <c r="M53" s="245">
        <f t="shared" si="47"/>
        <v>264.76226596000004</v>
      </c>
      <c r="N53" s="245">
        <f t="shared" si="47"/>
        <v>138.06353333000004</v>
      </c>
      <c r="O53" s="245">
        <f t="shared" si="47"/>
        <v>922.11230807000015</v>
      </c>
      <c r="P53" s="245">
        <f t="shared" si="47"/>
        <v>-14.439617520000041</v>
      </c>
      <c r="Q53" s="245">
        <f t="shared" si="47"/>
        <v>791.43703841999991</v>
      </c>
      <c r="R53" s="262">
        <f t="shared" si="47"/>
        <v>-51.255880269999977</v>
      </c>
      <c r="S53" s="245">
        <f t="shared" si="47"/>
        <v>74.877872720000028</v>
      </c>
      <c r="T53" s="262">
        <f t="shared" si="47"/>
        <v>239.22714510000037</v>
      </c>
      <c r="U53" s="262">
        <f t="shared" ref="U53:V53" si="48">SUM(U54:U55)</f>
        <v>143.06549542000005</v>
      </c>
      <c r="V53" s="323">
        <f t="shared" si="48"/>
        <v>-80.728105169999978</v>
      </c>
      <c r="W53" s="2"/>
      <c r="X53" s="9"/>
    </row>
    <row r="54" spans="1:24">
      <c r="A54" s="254"/>
      <c r="B54" s="35" t="s">
        <v>276</v>
      </c>
      <c r="C54" s="263"/>
      <c r="D54" s="264"/>
      <c r="E54" s="264"/>
      <c r="F54" s="264"/>
      <c r="G54" s="264"/>
      <c r="H54" s="264"/>
      <c r="I54" s="264"/>
      <c r="J54" s="264"/>
      <c r="K54" s="264"/>
      <c r="L54" s="264">
        <v>966.03129563999994</v>
      </c>
      <c r="M54" s="250">
        <v>533.36855000000003</v>
      </c>
      <c r="N54" s="250">
        <v>1041.2514293900001</v>
      </c>
      <c r="O54" s="250">
        <v>1165.8142580000001</v>
      </c>
      <c r="P54" s="250">
        <v>204.05611499999998</v>
      </c>
      <c r="Q54" s="250">
        <v>1029.85577842</v>
      </c>
      <c r="R54" s="250">
        <v>268.26518331</v>
      </c>
      <c r="S54" s="250">
        <v>538.16082025000003</v>
      </c>
      <c r="T54" s="250">
        <v>838.48260063000032</v>
      </c>
      <c r="U54" s="250">
        <v>602.79474933000006</v>
      </c>
      <c r="V54" s="251">
        <v>49.763848820000007</v>
      </c>
      <c r="W54" s="2"/>
      <c r="X54" s="9"/>
    </row>
    <row r="55" spans="1:24">
      <c r="A55" s="254"/>
      <c r="B55" s="35" t="s">
        <v>277</v>
      </c>
      <c r="C55" s="263"/>
      <c r="D55" s="264"/>
      <c r="E55" s="264"/>
      <c r="F55" s="264"/>
      <c r="G55" s="264"/>
      <c r="H55" s="264"/>
      <c r="I55" s="264"/>
      <c r="J55" s="264"/>
      <c r="K55" s="264"/>
      <c r="L55" s="264">
        <v>-258.89804046</v>
      </c>
      <c r="M55" s="250">
        <v>-268.60628403999999</v>
      </c>
      <c r="N55" s="250">
        <v>-903.18789606000007</v>
      </c>
      <c r="O55" s="250">
        <v>-243.70194993000001</v>
      </c>
      <c r="P55" s="250">
        <v>-218.49573252000002</v>
      </c>
      <c r="Q55" s="250">
        <v>-238.41874000000001</v>
      </c>
      <c r="R55" s="250">
        <v>-319.52106357999997</v>
      </c>
      <c r="S55" s="250">
        <v>-463.28294753</v>
      </c>
      <c r="T55" s="250">
        <v>-599.25545552999995</v>
      </c>
      <c r="U55" s="250">
        <v>-459.72925391000001</v>
      </c>
      <c r="V55" s="251">
        <v>-130.49195398999998</v>
      </c>
      <c r="W55" s="2"/>
      <c r="X55" s="9"/>
    </row>
    <row r="56" spans="1:24" ht="24.95" customHeight="1">
      <c r="A56" s="254"/>
      <c r="B56" s="25" t="s">
        <v>278</v>
      </c>
      <c r="C56" s="260">
        <f t="shared" ref="C56:H56" si="49">+C57+C60+C63+C66+C67</f>
        <v>0</v>
      </c>
      <c r="D56" s="261">
        <f t="shared" si="49"/>
        <v>0</v>
      </c>
      <c r="E56" s="261">
        <f t="shared" si="49"/>
        <v>0</v>
      </c>
      <c r="F56" s="261">
        <f t="shared" si="49"/>
        <v>0</v>
      </c>
      <c r="G56" s="261">
        <f t="shared" si="49"/>
        <v>0</v>
      </c>
      <c r="H56" s="261">
        <f t="shared" si="49"/>
        <v>0</v>
      </c>
      <c r="I56" s="261">
        <f t="shared" ref="I56:T56" si="50">+I57+I60+I63+I66+I67</f>
        <v>0</v>
      </c>
      <c r="J56" s="261">
        <f t="shared" si="50"/>
        <v>0</v>
      </c>
      <c r="K56" s="261">
        <f t="shared" si="50"/>
        <v>0</v>
      </c>
      <c r="L56" s="261">
        <f t="shared" si="50"/>
        <v>31.878026840000018</v>
      </c>
      <c r="M56" s="245">
        <f t="shared" si="50"/>
        <v>330.2086067999997</v>
      </c>
      <c r="N56" s="245">
        <f t="shared" si="50"/>
        <v>429.44281249000016</v>
      </c>
      <c r="O56" s="245">
        <f t="shared" si="50"/>
        <v>-521.26789792</v>
      </c>
      <c r="P56" s="245">
        <f t="shared" si="50"/>
        <v>460.06703033499969</v>
      </c>
      <c r="Q56" s="245">
        <f t="shared" si="50"/>
        <v>-385.43847545000023</v>
      </c>
      <c r="R56" s="245">
        <f t="shared" si="50"/>
        <v>344.5424553018895</v>
      </c>
      <c r="S56" s="245">
        <f t="shared" si="50"/>
        <v>108.69614055731932</v>
      </c>
      <c r="T56" s="245">
        <f t="shared" si="50"/>
        <v>-290.73748930400041</v>
      </c>
      <c r="U56" s="245">
        <f t="shared" ref="U56:V56" si="51">+U57+U60+U63+U66+U67</f>
        <v>102.98990947699997</v>
      </c>
      <c r="V56" s="247">
        <f t="shared" si="51"/>
        <v>69.066500518999959</v>
      </c>
      <c r="W56" s="2"/>
      <c r="X56" s="9"/>
    </row>
    <row r="57" spans="1:24">
      <c r="A57" s="254"/>
      <c r="B57" s="35" t="s">
        <v>279</v>
      </c>
      <c r="C57" s="263">
        <f t="shared" ref="C57:H57" si="52">+C58+C59</f>
        <v>0</v>
      </c>
      <c r="D57" s="264">
        <f t="shared" si="52"/>
        <v>0</v>
      </c>
      <c r="E57" s="264">
        <f t="shared" si="52"/>
        <v>0</v>
      </c>
      <c r="F57" s="264">
        <f t="shared" si="52"/>
        <v>0</v>
      </c>
      <c r="G57" s="264">
        <f t="shared" si="52"/>
        <v>0</v>
      </c>
      <c r="H57" s="264">
        <f t="shared" si="52"/>
        <v>0</v>
      </c>
      <c r="I57" s="264">
        <f t="shared" ref="I57:T57" si="53">+I58+I59</f>
        <v>0</v>
      </c>
      <c r="J57" s="264">
        <f t="shared" si="53"/>
        <v>0</v>
      </c>
      <c r="K57" s="264">
        <f t="shared" si="53"/>
        <v>0</v>
      </c>
      <c r="L57" s="264">
        <f t="shared" si="53"/>
        <v>-313.06700000000001</v>
      </c>
      <c r="M57" s="250">
        <f t="shared" si="53"/>
        <v>312.43209999999999</v>
      </c>
      <c r="N57" s="250">
        <f t="shared" si="53"/>
        <v>148.61281000000008</v>
      </c>
      <c r="O57" s="250">
        <f t="shared" si="53"/>
        <v>-759.70125500000006</v>
      </c>
      <c r="P57" s="250">
        <f t="shared" si="53"/>
        <v>755.72700436000002</v>
      </c>
      <c r="Q57" s="250">
        <f t="shared" si="53"/>
        <v>26.157219349999995</v>
      </c>
      <c r="R57" s="250">
        <f t="shared" si="53"/>
        <v>-8.9870185499999966</v>
      </c>
      <c r="S57" s="250">
        <f t="shared" si="53"/>
        <v>-1.506978939999982</v>
      </c>
      <c r="T57" s="250">
        <f t="shared" si="53"/>
        <v>11.753292239999965</v>
      </c>
      <c r="U57" s="250">
        <f t="shared" ref="U57:V57" si="54">+U58+U59</f>
        <v>-29.934179760000021</v>
      </c>
      <c r="V57" s="251">
        <f t="shared" si="54"/>
        <v>-186.45488061000003</v>
      </c>
      <c r="W57" s="2"/>
      <c r="X57" s="9"/>
    </row>
    <row r="58" spans="1:24">
      <c r="A58" s="254"/>
      <c r="B58" s="265" t="s">
        <v>280</v>
      </c>
      <c r="C58" s="263"/>
      <c r="D58" s="264"/>
      <c r="E58" s="264"/>
      <c r="F58" s="264"/>
      <c r="G58" s="264"/>
      <c r="H58" s="264"/>
      <c r="I58" s="264"/>
      <c r="J58" s="264"/>
      <c r="K58" s="264"/>
      <c r="L58" s="264">
        <v>0</v>
      </c>
      <c r="M58" s="250">
        <v>0</v>
      </c>
      <c r="N58" s="250">
        <v>0</v>
      </c>
      <c r="O58" s="250">
        <v>0</v>
      </c>
      <c r="P58" s="250">
        <v>-0.60614285000000001</v>
      </c>
      <c r="Q58" s="250">
        <v>-0.60614285000000001</v>
      </c>
      <c r="R58" s="250">
        <v>-0.60614285000000001</v>
      </c>
      <c r="S58" s="250">
        <v>0</v>
      </c>
      <c r="T58" s="250">
        <v>0</v>
      </c>
      <c r="U58" s="250">
        <v>0</v>
      </c>
      <c r="V58" s="251">
        <v>0</v>
      </c>
      <c r="W58" s="2"/>
      <c r="X58" s="9"/>
    </row>
    <row r="59" spans="1:24">
      <c r="A59" s="254"/>
      <c r="B59" s="265" t="s">
        <v>281</v>
      </c>
      <c r="C59" s="263"/>
      <c r="D59" s="264"/>
      <c r="E59" s="264"/>
      <c r="F59" s="264"/>
      <c r="G59" s="264"/>
      <c r="H59" s="264"/>
      <c r="I59" s="264"/>
      <c r="J59" s="264"/>
      <c r="K59" s="264"/>
      <c r="L59" s="264">
        <v>-313.06700000000001</v>
      </c>
      <c r="M59" s="250">
        <v>312.43209999999999</v>
      </c>
      <c r="N59" s="250">
        <v>148.61281000000008</v>
      </c>
      <c r="O59" s="250">
        <v>-759.70125500000006</v>
      </c>
      <c r="P59" s="250">
        <v>756.33314720999999</v>
      </c>
      <c r="Q59" s="250">
        <v>26.763362199999996</v>
      </c>
      <c r="R59" s="250">
        <v>-8.3808756999999972</v>
      </c>
      <c r="S59" s="250">
        <v>-1.506978939999982</v>
      </c>
      <c r="T59" s="250">
        <v>11.753292239999965</v>
      </c>
      <c r="U59" s="250">
        <v>-29.934179760000021</v>
      </c>
      <c r="V59" s="251">
        <v>-186.45488061000003</v>
      </c>
      <c r="W59" s="2"/>
      <c r="X59" s="9"/>
    </row>
    <row r="60" spans="1:24">
      <c r="A60" s="254"/>
      <c r="B60" s="35" t="s">
        <v>282</v>
      </c>
      <c r="C60" s="263">
        <f t="shared" ref="C60:H60" si="55">+C61+C62</f>
        <v>0</v>
      </c>
      <c r="D60" s="264">
        <f t="shared" si="55"/>
        <v>0</v>
      </c>
      <c r="E60" s="264">
        <f t="shared" si="55"/>
        <v>0</v>
      </c>
      <c r="F60" s="264">
        <f t="shared" si="55"/>
        <v>0</v>
      </c>
      <c r="G60" s="264">
        <f t="shared" si="55"/>
        <v>0</v>
      </c>
      <c r="H60" s="264">
        <f t="shared" si="55"/>
        <v>0</v>
      </c>
      <c r="I60" s="264">
        <f t="shared" ref="I60:T60" si="56">+I61+I62</f>
        <v>0</v>
      </c>
      <c r="J60" s="264">
        <f t="shared" si="56"/>
        <v>0</v>
      </c>
      <c r="K60" s="264">
        <f t="shared" si="56"/>
        <v>0</v>
      </c>
      <c r="L60" s="264">
        <f t="shared" si="56"/>
        <v>269.40009383000012</v>
      </c>
      <c r="M60" s="250">
        <f t="shared" si="56"/>
        <v>-41.175015450000025</v>
      </c>
      <c r="N60" s="250">
        <f t="shared" si="56"/>
        <v>253.94234834000002</v>
      </c>
      <c r="O60" s="250">
        <f t="shared" si="56"/>
        <v>136.61687200999998</v>
      </c>
      <c r="P60" s="250">
        <f t="shared" si="56"/>
        <v>-139.36924267999996</v>
      </c>
      <c r="Q60" s="250">
        <f t="shared" si="56"/>
        <v>-274.06043202000012</v>
      </c>
      <c r="R60" s="250">
        <f t="shared" si="56"/>
        <v>352.66713462000007</v>
      </c>
      <c r="S60" s="250">
        <f t="shared" si="56"/>
        <v>59.478949190000023</v>
      </c>
      <c r="T60" s="250">
        <f t="shared" si="56"/>
        <v>-192.65040945000007</v>
      </c>
      <c r="U60" s="250">
        <f t="shared" ref="U60:V60" si="57">+U61+U62</f>
        <v>110.91750422000005</v>
      </c>
      <c r="V60" s="251">
        <f t="shared" si="57"/>
        <v>52.189692579999871</v>
      </c>
      <c r="W60" s="2"/>
      <c r="X60" s="9"/>
    </row>
    <row r="61" spans="1:24">
      <c r="A61" s="254"/>
      <c r="B61" s="265" t="s">
        <v>280</v>
      </c>
      <c r="C61" s="263"/>
      <c r="D61" s="264"/>
      <c r="E61" s="264"/>
      <c r="F61" s="264"/>
      <c r="G61" s="264"/>
      <c r="H61" s="264"/>
      <c r="I61" s="264"/>
      <c r="J61" s="264"/>
      <c r="K61" s="264"/>
      <c r="L61" s="264">
        <v>320.3523938300001</v>
      </c>
      <c r="M61" s="250">
        <v>-40.469015450000008</v>
      </c>
      <c r="N61" s="250">
        <v>287.49743834000003</v>
      </c>
      <c r="O61" s="250">
        <v>104.69187201</v>
      </c>
      <c r="P61" s="250">
        <v>-26.46124267999997</v>
      </c>
      <c r="Q61" s="250">
        <v>-286.07143202000015</v>
      </c>
      <c r="R61" s="250">
        <v>341.12113462000008</v>
      </c>
      <c r="S61" s="250">
        <v>41.840949190000003</v>
      </c>
      <c r="T61" s="250">
        <v>-206.55140945000005</v>
      </c>
      <c r="U61" s="250">
        <v>123.32250421999998</v>
      </c>
      <c r="V61" s="251">
        <v>112.71569258</v>
      </c>
      <c r="W61" s="2"/>
      <c r="X61" s="9"/>
    </row>
    <row r="62" spans="1:24">
      <c r="A62" s="254"/>
      <c r="B62" s="265" t="s">
        <v>281</v>
      </c>
      <c r="C62" s="263"/>
      <c r="D62" s="264"/>
      <c r="E62" s="264"/>
      <c r="F62" s="264"/>
      <c r="G62" s="264"/>
      <c r="H62" s="264"/>
      <c r="I62" s="264"/>
      <c r="J62" s="264"/>
      <c r="K62" s="264"/>
      <c r="L62" s="264">
        <v>-50.952299999999994</v>
      </c>
      <c r="M62" s="250">
        <v>-0.70600000000001728</v>
      </c>
      <c r="N62" s="250">
        <v>-33.555090000000007</v>
      </c>
      <c r="O62" s="250">
        <v>31.924999999999994</v>
      </c>
      <c r="P62" s="250">
        <v>-112.908</v>
      </c>
      <c r="Q62" s="250">
        <v>12.011000000000017</v>
      </c>
      <c r="R62" s="250">
        <v>11.54600000000001</v>
      </c>
      <c r="S62" s="250">
        <v>17.638000000000019</v>
      </c>
      <c r="T62" s="250">
        <v>13.900999999999971</v>
      </c>
      <c r="U62" s="250">
        <v>-12.404999999999927</v>
      </c>
      <c r="V62" s="251">
        <v>-60.526000000000124</v>
      </c>
      <c r="W62" s="2"/>
      <c r="X62" s="9"/>
    </row>
    <row r="63" spans="1:24">
      <c r="A63" s="254"/>
      <c r="B63" s="35" t="s">
        <v>283</v>
      </c>
      <c r="C63" s="263">
        <f t="shared" ref="C63:H63" si="58">+C64+C65</f>
        <v>0</v>
      </c>
      <c r="D63" s="264">
        <f t="shared" si="58"/>
        <v>0</v>
      </c>
      <c r="E63" s="264">
        <f t="shared" si="58"/>
        <v>0</v>
      </c>
      <c r="F63" s="264">
        <f t="shared" si="58"/>
        <v>0</v>
      </c>
      <c r="G63" s="264">
        <f t="shared" si="58"/>
        <v>0</v>
      </c>
      <c r="H63" s="264">
        <f t="shared" si="58"/>
        <v>0</v>
      </c>
      <c r="I63" s="264">
        <f t="shared" ref="I63:T63" si="59">+I64+I65</f>
        <v>0</v>
      </c>
      <c r="J63" s="264">
        <f t="shared" si="59"/>
        <v>0</v>
      </c>
      <c r="K63" s="264">
        <f t="shared" si="59"/>
        <v>0</v>
      </c>
      <c r="L63" s="264">
        <f t="shared" si="59"/>
        <v>0</v>
      </c>
      <c r="M63" s="250">
        <f t="shared" si="59"/>
        <v>0</v>
      </c>
      <c r="N63" s="250">
        <f t="shared" si="59"/>
        <v>0</v>
      </c>
      <c r="O63" s="250">
        <f t="shared" si="59"/>
        <v>0</v>
      </c>
      <c r="P63" s="250">
        <f t="shared" si="59"/>
        <v>0</v>
      </c>
      <c r="Q63" s="250">
        <f t="shared" si="59"/>
        <v>0</v>
      </c>
      <c r="R63" s="250">
        <f t="shared" si="59"/>
        <v>0</v>
      </c>
      <c r="S63" s="250">
        <f t="shared" si="59"/>
        <v>0</v>
      </c>
      <c r="T63" s="250">
        <f t="shared" si="59"/>
        <v>-3.0365499300000001</v>
      </c>
      <c r="U63" s="250">
        <f t="shared" ref="U63:V63" si="60">+U64+U65</f>
        <v>0</v>
      </c>
      <c r="V63" s="251">
        <f t="shared" si="60"/>
        <v>0</v>
      </c>
      <c r="W63" s="2"/>
      <c r="X63" s="9"/>
    </row>
    <row r="64" spans="1:24">
      <c r="A64" s="254"/>
      <c r="B64" s="265" t="s">
        <v>280</v>
      </c>
      <c r="C64" s="263"/>
      <c r="D64" s="264"/>
      <c r="E64" s="264"/>
      <c r="F64" s="264"/>
      <c r="G64" s="264"/>
      <c r="H64" s="264"/>
      <c r="I64" s="264"/>
      <c r="J64" s="264"/>
      <c r="K64" s="264"/>
      <c r="L64" s="264"/>
      <c r="M64" s="250">
        <v>0</v>
      </c>
      <c r="N64" s="250">
        <v>0</v>
      </c>
      <c r="O64" s="250">
        <v>0</v>
      </c>
      <c r="P64" s="250">
        <v>0</v>
      </c>
      <c r="Q64" s="250">
        <v>0</v>
      </c>
      <c r="R64" s="250">
        <v>0</v>
      </c>
      <c r="S64" s="250">
        <v>0</v>
      </c>
      <c r="T64" s="250">
        <v>-3.0365499300000001</v>
      </c>
      <c r="U64" s="250">
        <v>0</v>
      </c>
      <c r="V64" s="251">
        <v>0</v>
      </c>
      <c r="W64" s="2"/>
      <c r="X64" s="9"/>
    </row>
    <row r="65" spans="1:24">
      <c r="A65" s="254"/>
      <c r="B65" s="265" t="s">
        <v>281</v>
      </c>
      <c r="C65" s="263"/>
      <c r="D65" s="264"/>
      <c r="E65" s="264"/>
      <c r="F65" s="264"/>
      <c r="G65" s="264"/>
      <c r="H65" s="264"/>
      <c r="I65" s="264"/>
      <c r="J65" s="264"/>
      <c r="K65" s="264"/>
      <c r="L65" s="264"/>
      <c r="M65" s="250">
        <v>0</v>
      </c>
      <c r="N65" s="250">
        <v>0</v>
      </c>
      <c r="O65" s="250">
        <v>0</v>
      </c>
      <c r="P65" s="250">
        <v>0</v>
      </c>
      <c r="Q65" s="250">
        <v>0</v>
      </c>
      <c r="R65" s="250">
        <v>0</v>
      </c>
      <c r="S65" s="250">
        <v>0</v>
      </c>
      <c r="T65" s="250">
        <v>0</v>
      </c>
      <c r="U65" s="250">
        <v>0</v>
      </c>
      <c r="V65" s="251">
        <v>0</v>
      </c>
      <c r="W65" s="2"/>
      <c r="X65" s="9"/>
    </row>
    <row r="66" spans="1:24">
      <c r="A66" s="254"/>
      <c r="B66" s="35" t="s">
        <v>284</v>
      </c>
      <c r="C66" s="263"/>
      <c r="D66" s="264"/>
      <c r="E66" s="264"/>
      <c r="F66" s="264"/>
      <c r="G66" s="264"/>
      <c r="H66" s="264"/>
      <c r="I66" s="264"/>
      <c r="J66" s="264"/>
      <c r="K66" s="264"/>
      <c r="L66" s="264">
        <v>40.83652748999998</v>
      </c>
      <c r="M66" s="250">
        <v>413.60455833000003</v>
      </c>
      <c r="N66" s="250">
        <v>441.34384926999996</v>
      </c>
      <c r="O66" s="250">
        <v>544.17982876999997</v>
      </c>
      <c r="P66" s="250">
        <v>159.79549649999996</v>
      </c>
      <c r="Q66" s="250">
        <v>346.5356237420001</v>
      </c>
      <c r="R66" s="250">
        <v>514.79667031999998</v>
      </c>
      <c r="S66" s="250">
        <v>542.67675475999999</v>
      </c>
      <c r="T66" s="250">
        <v>575.11004430000003</v>
      </c>
      <c r="U66" s="250">
        <v>475.41071252999996</v>
      </c>
      <c r="V66" s="251">
        <v>303.73175129999998</v>
      </c>
      <c r="W66" s="2"/>
      <c r="X66" s="9"/>
    </row>
    <row r="67" spans="1:24">
      <c r="A67" s="254"/>
      <c r="B67" s="35" t="s">
        <v>285</v>
      </c>
      <c r="C67" s="263">
        <f t="shared" ref="C67:H67" si="61">SUM(C68:C72)</f>
        <v>0</v>
      </c>
      <c r="D67" s="264">
        <f t="shared" si="61"/>
        <v>0</v>
      </c>
      <c r="E67" s="264">
        <f t="shared" si="61"/>
        <v>0</v>
      </c>
      <c r="F67" s="264">
        <f t="shared" si="61"/>
        <v>0</v>
      </c>
      <c r="G67" s="264">
        <f t="shared" si="61"/>
        <v>0</v>
      </c>
      <c r="H67" s="264">
        <f t="shared" si="61"/>
        <v>0</v>
      </c>
      <c r="I67" s="264">
        <f t="shared" ref="I67:T67" si="62">SUM(I68:I72)</f>
        <v>0</v>
      </c>
      <c r="J67" s="264">
        <f t="shared" si="62"/>
        <v>0</v>
      </c>
      <c r="K67" s="264">
        <f t="shared" si="62"/>
        <v>0</v>
      </c>
      <c r="L67" s="264">
        <f t="shared" si="62"/>
        <v>34.708405519999928</v>
      </c>
      <c r="M67" s="250">
        <f t="shared" si="62"/>
        <v>-354.65303608000028</v>
      </c>
      <c r="N67" s="250">
        <f t="shared" si="62"/>
        <v>-414.45619511999996</v>
      </c>
      <c r="O67" s="250">
        <f t="shared" si="62"/>
        <v>-442.36334369999986</v>
      </c>
      <c r="P67" s="250">
        <f t="shared" si="62"/>
        <v>-316.08622784500028</v>
      </c>
      <c r="Q67" s="250">
        <f t="shared" si="62"/>
        <v>-484.07088652200019</v>
      </c>
      <c r="R67" s="250">
        <f t="shared" si="62"/>
        <v>-513.93433108811053</v>
      </c>
      <c r="S67" s="250">
        <f t="shared" si="62"/>
        <v>-491.9525844526807</v>
      </c>
      <c r="T67" s="250">
        <f t="shared" si="62"/>
        <v>-681.91386646400031</v>
      </c>
      <c r="U67" s="250">
        <f t="shared" ref="U67:V67" si="63">SUM(U68:U72)</f>
        <v>-453.40412751300005</v>
      </c>
      <c r="V67" s="251">
        <f t="shared" si="63"/>
        <v>-100.40006275099987</v>
      </c>
      <c r="W67" s="2"/>
      <c r="X67" s="9"/>
    </row>
    <row r="68" spans="1:24">
      <c r="A68" s="254"/>
      <c r="B68" s="265" t="s">
        <v>286</v>
      </c>
      <c r="C68" s="263"/>
      <c r="D68" s="264"/>
      <c r="E68" s="264"/>
      <c r="F68" s="264"/>
      <c r="G68" s="264"/>
      <c r="H68" s="264"/>
      <c r="I68" s="264"/>
      <c r="J68" s="264"/>
      <c r="K68" s="264"/>
      <c r="L68" s="264"/>
      <c r="M68" s="250">
        <v>0</v>
      </c>
      <c r="N68" s="250">
        <v>0</v>
      </c>
      <c r="O68" s="250">
        <v>0</v>
      </c>
      <c r="P68" s="250">
        <v>0</v>
      </c>
      <c r="Q68" s="250">
        <v>0</v>
      </c>
      <c r="R68" s="250">
        <v>0</v>
      </c>
      <c r="S68" s="250">
        <v>0</v>
      </c>
      <c r="T68" s="250">
        <v>0</v>
      </c>
      <c r="U68" s="250">
        <v>0</v>
      </c>
      <c r="V68" s="251">
        <v>0</v>
      </c>
      <c r="W68" s="2"/>
      <c r="X68" s="9"/>
    </row>
    <row r="69" spans="1:24">
      <c r="A69" s="254"/>
      <c r="B69" s="265" t="s">
        <v>287</v>
      </c>
      <c r="C69" s="263"/>
      <c r="D69" s="264"/>
      <c r="E69" s="264"/>
      <c r="F69" s="264"/>
      <c r="G69" s="264"/>
      <c r="H69" s="264"/>
      <c r="I69" s="264"/>
      <c r="J69" s="264"/>
      <c r="K69" s="264"/>
      <c r="L69" s="264"/>
      <c r="M69" s="250">
        <v>0</v>
      </c>
      <c r="N69" s="250">
        <v>0</v>
      </c>
      <c r="O69" s="250">
        <v>0</v>
      </c>
      <c r="P69" s="250">
        <v>0</v>
      </c>
      <c r="Q69" s="250">
        <v>0</v>
      </c>
      <c r="R69" s="250">
        <v>0</v>
      </c>
      <c r="S69" s="250">
        <v>0</v>
      </c>
      <c r="T69" s="250">
        <v>0</v>
      </c>
      <c r="U69" s="250">
        <v>0</v>
      </c>
      <c r="V69" s="251">
        <v>0</v>
      </c>
      <c r="W69" s="2"/>
      <c r="X69" s="9"/>
    </row>
    <row r="70" spans="1:24">
      <c r="A70" s="254"/>
      <c r="B70" s="265" t="s">
        <v>288</v>
      </c>
      <c r="C70" s="263"/>
      <c r="D70" s="264"/>
      <c r="E70" s="264"/>
      <c r="F70" s="264"/>
      <c r="G70" s="264"/>
      <c r="H70" s="264"/>
      <c r="I70" s="264"/>
      <c r="J70" s="264"/>
      <c r="K70" s="264"/>
      <c r="L70" s="264"/>
      <c r="M70" s="250">
        <v>0</v>
      </c>
      <c r="N70" s="250">
        <v>0</v>
      </c>
      <c r="O70" s="250">
        <v>0</v>
      </c>
      <c r="P70" s="250">
        <v>0</v>
      </c>
      <c r="Q70" s="250">
        <v>0</v>
      </c>
      <c r="R70" s="250">
        <v>0</v>
      </c>
      <c r="S70" s="250">
        <v>0</v>
      </c>
      <c r="T70" s="250">
        <v>0</v>
      </c>
      <c r="U70" s="250">
        <v>0</v>
      </c>
      <c r="V70" s="251">
        <v>0</v>
      </c>
      <c r="W70" s="2"/>
      <c r="X70" s="9"/>
    </row>
    <row r="71" spans="1:24">
      <c r="A71" s="254"/>
      <c r="B71" s="265" t="s">
        <v>289</v>
      </c>
      <c r="C71" s="263"/>
      <c r="D71" s="264"/>
      <c r="E71" s="264"/>
      <c r="F71" s="264"/>
      <c r="G71" s="264"/>
      <c r="H71" s="264"/>
      <c r="I71" s="264"/>
      <c r="J71" s="264"/>
      <c r="K71" s="264"/>
      <c r="L71" s="264"/>
      <c r="M71" s="250">
        <v>-357.13972762000003</v>
      </c>
      <c r="N71" s="250">
        <v>-405.58888933999998</v>
      </c>
      <c r="O71" s="250">
        <v>-419.34656863999999</v>
      </c>
      <c r="P71" s="250">
        <v>-442.27023896999998</v>
      </c>
      <c r="Q71" s="250">
        <v>-466.98597691200007</v>
      </c>
      <c r="R71" s="250">
        <v>-485.21022762999996</v>
      </c>
      <c r="S71" s="250">
        <v>-519.88434503000008</v>
      </c>
      <c r="T71" s="250">
        <v>-560.38694230999999</v>
      </c>
      <c r="U71" s="250">
        <v>-365.99749787000002</v>
      </c>
      <c r="V71" s="251">
        <v>-163.36851025999999</v>
      </c>
      <c r="W71" s="2"/>
      <c r="X71" s="9"/>
    </row>
    <row r="72" spans="1:24">
      <c r="A72" s="254"/>
      <c r="B72" s="265" t="s">
        <v>285</v>
      </c>
      <c r="C72" s="263"/>
      <c r="D72" s="264"/>
      <c r="E72" s="264"/>
      <c r="F72" s="264"/>
      <c r="G72" s="264"/>
      <c r="H72" s="264"/>
      <c r="I72" s="264"/>
      <c r="J72" s="264"/>
      <c r="K72" s="264"/>
      <c r="L72" s="264">
        <v>34.708405519999928</v>
      </c>
      <c r="M72" s="250">
        <v>2.4866915399997644</v>
      </c>
      <c r="N72" s="250">
        <v>-8.8673057799999668</v>
      </c>
      <c r="O72" s="250">
        <v>-23.016775059999866</v>
      </c>
      <c r="P72" s="250">
        <v>126.18401112499973</v>
      </c>
      <c r="Q72" s="250">
        <v>-17.084909610000103</v>
      </c>
      <c r="R72" s="250">
        <v>-28.724103458110577</v>
      </c>
      <c r="S72" s="250">
        <v>27.931760577319373</v>
      </c>
      <c r="T72" s="250">
        <v>-121.52692415400031</v>
      </c>
      <c r="U72" s="250">
        <v>-87.406629643000002</v>
      </c>
      <c r="V72" s="251">
        <v>62.968447509000121</v>
      </c>
      <c r="W72" s="2"/>
      <c r="X72" s="9"/>
    </row>
    <row r="73" spans="1:24" ht="24.75" customHeight="1">
      <c r="A73" s="254"/>
      <c r="B73" s="25" t="s">
        <v>290</v>
      </c>
      <c r="C73" s="260">
        <f t="shared" ref="C73:H73" si="64">-C50-C53-C56</f>
        <v>330.26950371216435</v>
      </c>
      <c r="D73" s="261">
        <f t="shared" si="64"/>
        <v>323.00303148299986</v>
      </c>
      <c r="E73" s="261">
        <f t="shared" si="64"/>
        <v>195.17173219499978</v>
      </c>
      <c r="F73" s="261">
        <f t="shared" si="64"/>
        <v>241.1289471499997</v>
      </c>
      <c r="G73" s="261">
        <f t="shared" si="64"/>
        <v>157.76999999999998</v>
      </c>
      <c r="H73" s="261">
        <f t="shared" si="64"/>
        <v>165.76676317500005</v>
      </c>
      <c r="I73" s="261">
        <f t="shared" ref="I73:T73" si="65">-I50-I53-I56</f>
        <v>89.475610319000225</v>
      </c>
      <c r="J73" s="261">
        <f t="shared" si="65"/>
        <v>90.31196238470875</v>
      </c>
      <c r="K73" s="261">
        <f t="shared" si="65"/>
        <v>208.13741357000026</v>
      </c>
      <c r="L73" s="261">
        <f t="shared" si="65"/>
        <v>24.240964229999747</v>
      </c>
      <c r="M73" s="245">
        <f t="shared" si="65"/>
        <v>0</v>
      </c>
      <c r="N73" s="245">
        <f t="shared" si="65"/>
        <v>0</v>
      </c>
      <c r="O73" s="245">
        <f t="shared" si="65"/>
        <v>0</v>
      </c>
      <c r="P73" s="245">
        <f t="shared" si="65"/>
        <v>0</v>
      </c>
      <c r="Q73" s="245">
        <f t="shared" si="65"/>
        <v>0</v>
      </c>
      <c r="R73" s="245">
        <f t="shared" si="65"/>
        <v>-1.8743451500002379</v>
      </c>
      <c r="S73" s="245">
        <f t="shared" si="65"/>
        <v>-1.3073986337985843E-12</v>
      </c>
      <c r="T73" s="245">
        <f t="shared" si="65"/>
        <v>1.0231815394945443E-12</v>
      </c>
      <c r="U73" s="245">
        <f t="shared" ref="U73:V73" si="66">-U50-U53-U56</f>
        <v>6.8212102632969618E-13</v>
      </c>
      <c r="V73" s="247">
        <f t="shared" si="66"/>
        <v>1.8474111129762605E-13</v>
      </c>
      <c r="W73" s="2"/>
      <c r="X73" s="9"/>
    </row>
    <row r="74" spans="1:24">
      <c r="A74" s="254"/>
      <c r="B74" s="42"/>
      <c r="C74" s="263"/>
      <c r="D74" s="264"/>
      <c r="E74" s="264"/>
      <c r="F74" s="264"/>
      <c r="G74" s="264"/>
      <c r="H74" s="264"/>
      <c r="I74" s="264"/>
      <c r="J74" s="264"/>
      <c r="K74" s="264"/>
      <c r="L74" s="264"/>
      <c r="M74" s="250"/>
      <c r="N74" s="250"/>
      <c r="O74" s="250"/>
      <c r="P74" s="250"/>
      <c r="Q74" s="250"/>
      <c r="R74" s="250"/>
      <c r="S74" s="250"/>
      <c r="T74" s="250"/>
      <c r="U74" s="250"/>
      <c r="V74" s="251"/>
      <c r="W74" s="2"/>
      <c r="X74" s="9"/>
    </row>
    <row r="75" spans="1:24" ht="24.75" customHeight="1">
      <c r="A75" s="254"/>
      <c r="B75" s="25" t="s">
        <v>291</v>
      </c>
      <c r="C75" s="260"/>
      <c r="D75" s="261"/>
      <c r="E75" s="261"/>
      <c r="F75" s="261"/>
      <c r="G75" s="261"/>
      <c r="H75" s="261"/>
      <c r="I75" s="261"/>
      <c r="J75" s="261"/>
      <c r="K75" s="261"/>
      <c r="L75" s="261"/>
      <c r="M75" s="245">
        <v>357.13972762000003</v>
      </c>
      <c r="N75" s="245">
        <v>405.58888933999998</v>
      </c>
      <c r="O75" s="245">
        <v>419.34656863999999</v>
      </c>
      <c r="P75" s="245">
        <v>442.27023896999998</v>
      </c>
      <c r="Q75" s="245">
        <v>466.98597691200007</v>
      </c>
      <c r="R75" s="245">
        <v>485.21022763000002</v>
      </c>
      <c r="S75" s="245">
        <v>519.88434503000008</v>
      </c>
      <c r="T75" s="245">
        <v>560.38694230999999</v>
      </c>
      <c r="U75" s="245">
        <v>365.99749787000002</v>
      </c>
      <c r="V75" s="247">
        <v>163.36851025999999</v>
      </c>
      <c r="W75" s="2"/>
      <c r="X75" s="9"/>
    </row>
    <row r="76" spans="1:24" ht="24.75" customHeight="1">
      <c r="A76" s="254"/>
      <c r="B76" s="25" t="s">
        <v>292</v>
      </c>
      <c r="C76" s="263"/>
      <c r="D76" s="264"/>
      <c r="E76" s="264"/>
      <c r="F76" s="264"/>
      <c r="G76" s="264"/>
      <c r="H76" s="264"/>
      <c r="I76" s="264"/>
      <c r="J76" s="264"/>
      <c r="K76" s="264"/>
      <c r="L76" s="264"/>
      <c r="M76" s="250"/>
      <c r="N76" s="250"/>
      <c r="O76" s="250"/>
      <c r="P76" s="250"/>
      <c r="Q76" s="250"/>
      <c r="R76" s="250"/>
      <c r="S76" s="250"/>
      <c r="T76" s="250"/>
      <c r="U76" s="250"/>
      <c r="V76" s="251"/>
      <c r="W76" s="2"/>
      <c r="X76" s="9"/>
    </row>
    <row r="77" spans="1:24" ht="26.25" customHeight="1">
      <c r="A77" s="254"/>
      <c r="B77" s="38" t="s">
        <v>56</v>
      </c>
      <c r="C77" s="266">
        <v>11784.93</v>
      </c>
      <c r="D77" s="266">
        <v>12282.53</v>
      </c>
      <c r="E77" s="266">
        <v>12664.19</v>
      </c>
      <c r="F77" s="266">
        <v>13243.89</v>
      </c>
      <c r="G77" s="266">
        <v>13724.81</v>
      </c>
      <c r="H77" s="266">
        <v>14698</v>
      </c>
      <c r="I77" s="266">
        <v>15999.89</v>
      </c>
      <c r="J77" s="266">
        <v>17011.75</v>
      </c>
      <c r="K77" s="266">
        <v>17986.89</v>
      </c>
      <c r="L77" s="266">
        <v>17601.62</v>
      </c>
      <c r="M77" s="266">
        <v>18447.919999999998</v>
      </c>
      <c r="N77" s="266">
        <v>20283.78</v>
      </c>
      <c r="O77" s="266">
        <v>21386.15</v>
      </c>
      <c r="P77" s="266">
        <v>21990.959999999999</v>
      </c>
      <c r="Q77" s="266">
        <v>22593.47</v>
      </c>
      <c r="R77" s="266">
        <v>23438.240000000002</v>
      </c>
      <c r="S77" s="266">
        <v>24154.11</v>
      </c>
      <c r="T77" s="266">
        <v>24927.97</v>
      </c>
      <c r="U77" s="266">
        <v>26056.94</v>
      </c>
      <c r="V77" s="267">
        <v>26844.7</v>
      </c>
      <c r="W77" s="2"/>
      <c r="X77" s="9"/>
    </row>
    <row r="78" spans="1:24" ht="6" customHeight="1">
      <c r="B78" s="2"/>
      <c r="C78" s="268"/>
      <c r="D78" s="268"/>
      <c r="E78" s="268"/>
      <c r="F78" s="268"/>
      <c r="G78" s="268"/>
      <c r="H78" s="268"/>
      <c r="I78" s="268"/>
      <c r="J78" s="268"/>
      <c r="K78" s="268"/>
      <c r="L78" s="268"/>
      <c r="M78" s="268"/>
      <c r="N78" s="268"/>
      <c r="O78" s="268"/>
      <c r="P78" s="268"/>
      <c r="Q78" s="268"/>
      <c r="R78" s="268"/>
      <c r="S78" s="268"/>
      <c r="T78" s="268"/>
      <c r="U78" s="268"/>
      <c r="V78" s="268"/>
      <c r="W78" s="2"/>
      <c r="X78" s="9"/>
    </row>
    <row r="79" spans="1:24" ht="32.25" customHeight="1">
      <c r="B79" s="763" t="s">
        <v>293</v>
      </c>
      <c r="C79" s="763"/>
      <c r="D79" s="763"/>
      <c r="E79" s="763"/>
      <c r="F79" s="763"/>
      <c r="G79" s="763"/>
      <c r="H79" s="763"/>
      <c r="I79" s="763"/>
      <c r="J79" s="763"/>
      <c r="K79" s="763"/>
      <c r="L79" s="763"/>
      <c r="M79" s="763"/>
      <c r="N79" s="763"/>
      <c r="O79" s="763"/>
      <c r="P79" s="763"/>
      <c r="Q79" s="763"/>
      <c r="R79" s="763"/>
      <c r="S79" s="763"/>
      <c r="T79" s="763"/>
      <c r="U79" s="763"/>
      <c r="V79" s="763"/>
      <c r="W79" s="2"/>
      <c r="X79" s="9"/>
    </row>
    <row r="80" spans="1:24" ht="33" customHeight="1">
      <c r="B80" s="615"/>
      <c r="C80" s="615"/>
      <c r="D80" s="615"/>
      <c r="E80" s="615"/>
      <c r="F80" s="615"/>
      <c r="G80" s="615"/>
      <c r="H80" s="615"/>
      <c r="I80" s="615"/>
      <c r="J80" s="615"/>
      <c r="K80" s="615"/>
      <c r="L80" s="615"/>
      <c r="M80" s="615"/>
      <c r="N80" s="615"/>
      <c r="O80" s="615"/>
      <c r="P80" s="615"/>
      <c r="Q80" s="615"/>
      <c r="R80" s="615"/>
      <c r="S80" s="615"/>
      <c r="T80" s="615"/>
      <c r="U80" s="607"/>
      <c r="V80" s="728"/>
      <c r="W80" s="2"/>
      <c r="X80" s="9"/>
    </row>
    <row r="81" spans="16:22">
      <c r="P81" s="615"/>
      <c r="Q81" s="615"/>
      <c r="R81" s="615"/>
      <c r="S81" s="615"/>
      <c r="T81" s="615"/>
      <c r="U81" s="749"/>
      <c r="V81" s="749"/>
    </row>
  </sheetData>
  <mergeCells count="1">
    <mergeCell ref="B79:V79"/>
  </mergeCells>
  <printOptions horizontalCentered="1"/>
  <pageMargins left="0.7" right="0.7" top="0.75" bottom="0.75" header="0.3" footer="0.3"/>
  <pageSetup scale="41" orientation="landscape" r:id="rId1"/>
  <ignoredErrors>
    <ignoredError sqref="T9:V9 S32 M9:S9" formulaRange="1"/>
    <ignoredError sqref="S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
  <sheetViews>
    <sheetView topLeftCell="A4" zoomScale="90" zoomScaleNormal="90" workbookViewId="0">
      <selection activeCell="Q19" sqref="Q19"/>
    </sheetView>
  </sheetViews>
  <sheetFormatPr baseColWidth="10" defaultRowHeight="15"/>
  <sheetData>
    <row r="2" spans="2:2" ht="23.25">
      <c r="B2" s="729" t="s">
        <v>791</v>
      </c>
    </row>
  </sheetData>
  <printOptions horizontalCentered="1"/>
  <pageMargins left="0.7" right="0.7" top="0.75" bottom="0.75" header="0.3" footer="0.3"/>
  <pageSetup scale="6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Q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s>
  <sheetData>
    <row r="2" spans="2:16">
      <c r="B2" s="234" t="s">
        <v>18</v>
      </c>
      <c r="C2" s="2"/>
      <c r="D2" s="2"/>
      <c r="E2" s="2"/>
      <c r="F2" s="2"/>
      <c r="G2" s="2"/>
      <c r="H2" s="2"/>
      <c r="I2" s="2"/>
      <c r="J2" s="2"/>
      <c r="K2" s="2"/>
      <c r="L2" s="2"/>
      <c r="M2" s="2"/>
      <c r="N2" s="2"/>
      <c r="O2" s="2"/>
      <c r="P2" s="2"/>
    </row>
    <row r="3" spans="2:16">
      <c r="B3" s="234" t="s">
        <v>294</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295</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269.3220576999999</v>
      </c>
      <c r="D8" s="246">
        <f>+D9+D13+D14</f>
        <v>225.97261747000002</v>
      </c>
      <c r="E8" s="246">
        <f t="shared" ref="E8:N8" si="0">+E9+E13+E14</f>
        <v>229.05513289000001</v>
      </c>
      <c r="F8" s="246">
        <f t="shared" si="0"/>
        <v>399.70521423999998</v>
      </c>
      <c r="G8" s="246">
        <f t="shared" si="0"/>
        <v>244.61247604000002</v>
      </c>
      <c r="H8" s="246">
        <f t="shared" si="0"/>
        <v>230.19788666999995</v>
      </c>
      <c r="I8" s="246">
        <f t="shared" si="0"/>
        <v>232.63309680999996</v>
      </c>
      <c r="J8" s="246">
        <f t="shared" si="0"/>
        <v>225.39376587999999</v>
      </c>
      <c r="K8" s="246">
        <f t="shared" si="0"/>
        <v>226.37735509000001</v>
      </c>
      <c r="L8" s="246">
        <f t="shared" si="0"/>
        <v>242.35411977000001</v>
      </c>
      <c r="M8" s="246">
        <f t="shared" si="0"/>
        <v>226.67957142999998</v>
      </c>
      <c r="N8" s="271">
        <f t="shared" si="0"/>
        <v>235.55184939</v>
      </c>
      <c r="O8" s="271">
        <f>SUM(C8:N8)</f>
        <v>2987.8551433799998</v>
      </c>
      <c r="P8" s="2"/>
    </row>
    <row r="9" spans="2:16" ht="18" customHeight="1">
      <c r="B9" s="272" t="s">
        <v>240</v>
      </c>
      <c r="C9" s="270">
        <f>SUM(C10:C12)</f>
        <v>269.20150647999992</v>
      </c>
      <c r="D9" s="246">
        <f>SUM(D10:D12)</f>
        <v>225.07580107000001</v>
      </c>
      <c r="E9" s="246">
        <f t="shared" ref="E9:N9" si="1">SUM(E10:E12)</f>
        <v>228.83971030000001</v>
      </c>
      <c r="F9" s="246">
        <f t="shared" si="1"/>
        <v>398.90327316999998</v>
      </c>
      <c r="G9" s="246">
        <f t="shared" si="1"/>
        <v>244.07795448000002</v>
      </c>
      <c r="H9" s="246">
        <f t="shared" si="1"/>
        <v>230.10619653999996</v>
      </c>
      <c r="I9" s="246">
        <f t="shared" si="1"/>
        <v>232.34309680999996</v>
      </c>
      <c r="J9" s="246">
        <f t="shared" si="1"/>
        <v>225.17376587999999</v>
      </c>
      <c r="K9" s="246">
        <f t="shared" si="1"/>
        <v>214.19005509000002</v>
      </c>
      <c r="L9" s="246">
        <f t="shared" si="1"/>
        <v>240.85411977000001</v>
      </c>
      <c r="M9" s="246">
        <f t="shared" si="1"/>
        <v>226.67957142999998</v>
      </c>
      <c r="N9" s="271">
        <f t="shared" si="1"/>
        <v>233.37494939000001</v>
      </c>
      <c r="O9" s="271">
        <f>SUM(C9:N9)</f>
        <v>2968.8200004099999</v>
      </c>
      <c r="P9" s="2"/>
    </row>
    <row r="10" spans="2:16">
      <c r="B10" s="265" t="s">
        <v>241</v>
      </c>
      <c r="C10" s="252">
        <v>261.17770649999994</v>
      </c>
      <c r="D10" s="250">
        <v>213.9345132</v>
      </c>
      <c r="E10" s="250">
        <v>217.36534319</v>
      </c>
      <c r="F10" s="250">
        <v>391.70445529</v>
      </c>
      <c r="G10" s="250">
        <v>228.08045212000002</v>
      </c>
      <c r="H10" s="250">
        <v>221.02730346999996</v>
      </c>
      <c r="I10" s="250">
        <v>224.53169999999997</v>
      </c>
      <c r="J10" s="250">
        <v>217.21568954999998</v>
      </c>
      <c r="K10" s="250">
        <v>205.75245672000003</v>
      </c>
      <c r="L10" s="250">
        <v>221.26598537000001</v>
      </c>
      <c r="M10" s="250">
        <v>210.17864940999999</v>
      </c>
      <c r="N10" s="251">
        <v>223.73687126000002</v>
      </c>
      <c r="O10" s="273">
        <f>SUM(C10:N10)</f>
        <v>2835.97112608</v>
      </c>
      <c r="P10" s="2"/>
    </row>
    <row r="11" spans="2:16">
      <c r="B11" s="265" t="s">
        <v>242</v>
      </c>
      <c r="C11" s="252">
        <v>8.0237999799999997</v>
      </c>
      <c r="D11" s="250">
        <v>10.241287869999999</v>
      </c>
      <c r="E11" s="250">
        <v>10.604886109999999</v>
      </c>
      <c r="F11" s="250">
        <v>7.19881788</v>
      </c>
      <c r="G11" s="250">
        <v>12.431945690000003</v>
      </c>
      <c r="H11" s="250">
        <v>9.0788930699999995</v>
      </c>
      <c r="I11" s="250">
        <v>7.8113968099999997</v>
      </c>
      <c r="J11" s="250">
        <v>7.9580763300000008</v>
      </c>
      <c r="K11" s="250">
        <v>8.4375983699999999</v>
      </c>
      <c r="L11" s="250">
        <v>9.5881344000000013</v>
      </c>
      <c r="M11" s="250">
        <v>6.5009220200000009</v>
      </c>
      <c r="N11" s="251">
        <v>9.6380781300000002</v>
      </c>
      <c r="O11" s="273">
        <f t="shared" ref="O11:O71" si="2">SUM(C11:N11)</f>
        <v>107.51383666000001</v>
      </c>
      <c r="P11" s="2"/>
    </row>
    <row r="12" spans="2:16">
      <c r="B12" s="265" t="s">
        <v>243</v>
      </c>
      <c r="C12" s="252">
        <v>0</v>
      </c>
      <c r="D12" s="250">
        <v>0.9</v>
      </c>
      <c r="E12" s="250">
        <v>0.86948099999999995</v>
      </c>
      <c r="F12" s="250">
        <v>0</v>
      </c>
      <c r="G12" s="250">
        <v>3.5655566699999999</v>
      </c>
      <c r="H12" s="250">
        <v>0</v>
      </c>
      <c r="I12" s="250">
        <v>0</v>
      </c>
      <c r="J12" s="250">
        <v>0</v>
      </c>
      <c r="K12" s="250">
        <v>0</v>
      </c>
      <c r="L12" s="250">
        <v>10</v>
      </c>
      <c r="M12" s="250">
        <v>10</v>
      </c>
      <c r="N12" s="251">
        <v>0</v>
      </c>
      <c r="O12" s="273">
        <f t="shared" si="2"/>
        <v>25.335037669999998</v>
      </c>
      <c r="P12" s="2"/>
    </row>
    <row r="13" spans="2:16" ht="18" customHeight="1">
      <c r="B13" s="272" t="s">
        <v>244</v>
      </c>
      <c r="C13" s="244">
        <v>0</v>
      </c>
      <c r="D13" s="245">
        <v>0</v>
      </c>
      <c r="E13" s="245">
        <v>0</v>
      </c>
      <c r="F13" s="245">
        <v>0</v>
      </c>
      <c r="G13" s="245">
        <v>2.4905E-2</v>
      </c>
      <c r="H13" s="245">
        <v>1.477727E-2</v>
      </c>
      <c r="I13" s="245">
        <v>0</v>
      </c>
      <c r="J13" s="245">
        <v>0</v>
      </c>
      <c r="K13" s="245">
        <v>0</v>
      </c>
      <c r="L13" s="245">
        <v>0</v>
      </c>
      <c r="M13" s="245">
        <v>0</v>
      </c>
      <c r="N13" s="247">
        <v>1.6000000000000001E-3</v>
      </c>
      <c r="O13" s="271">
        <f t="shared" si="2"/>
        <v>4.1282269999999996E-2</v>
      </c>
      <c r="P13" s="2"/>
    </row>
    <row r="14" spans="2:16" ht="18" customHeight="1">
      <c r="B14" s="272" t="s">
        <v>245</v>
      </c>
      <c r="C14" s="244">
        <v>0.12055122</v>
      </c>
      <c r="D14" s="245">
        <v>0.89681639999999996</v>
      </c>
      <c r="E14" s="245">
        <v>0.21542259000000002</v>
      </c>
      <c r="F14" s="245">
        <v>0.80194107000000003</v>
      </c>
      <c r="G14" s="245">
        <v>0.50961656</v>
      </c>
      <c r="H14" s="245">
        <v>7.691286E-2</v>
      </c>
      <c r="I14" s="245">
        <v>0.28999999999999998</v>
      </c>
      <c r="J14" s="245">
        <v>0.22</v>
      </c>
      <c r="K14" s="245">
        <v>12.1873</v>
      </c>
      <c r="L14" s="245">
        <v>1.5</v>
      </c>
      <c r="M14" s="245">
        <v>0</v>
      </c>
      <c r="N14" s="247">
        <v>2.1753</v>
      </c>
      <c r="O14" s="271">
        <f t="shared" si="2"/>
        <v>18.993860699999999</v>
      </c>
      <c r="P14" s="2"/>
    </row>
    <row r="15" spans="2:16" ht="24.95" customHeight="1">
      <c r="B15" s="25" t="s">
        <v>246</v>
      </c>
      <c r="C15" s="244">
        <f>+C16+C29+C40</f>
        <v>336.93667800999998</v>
      </c>
      <c r="D15" s="245">
        <f>+D16+D29+D40</f>
        <v>251.49661492999996</v>
      </c>
      <c r="E15" s="245">
        <f t="shared" ref="E15:N15" si="3">+E16+E29+E40</f>
        <v>297.96972869999996</v>
      </c>
      <c r="F15" s="245">
        <f t="shared" si="3"/>
        <v>307.08616743999994</v>
      </c>
      <c r="G15" s="245">
        <f t="shared" si="3"/>
        <v>257.17673267999999</v>
      </c>
      <c r="H15" s="245">
        <f t="shared" si="3"/>
        <v>385.60402676999996</v>
      </c>
      <c r="I15" s="245">
        <f t="shared" si="3"/>
        <v>361.88224455</v>
      </c>
      <c r="J15" s="245">
        <f t="shared" si="3"/>
        <v>268.21282494999997</v>
      </c>
      <c r="K15" s="245">
        <f t="shared" si="3"/>
        <v>267.49310853999998</v>
      </c>
      <c r="L15" s="245">
        <f t="shared" si="3"/>
        <v>298.31991640000001</v>
      </c>
      <c r="M15" s="245">
        <f t="shared" si="3"/>
        <v>264.38941674000006</v>
      </c>
      <c r="N15" s="247">
        <f t="shared" si="3"/>
        <v>454.49044448999996</v>
      </c>
      <c r="O15" s="271">
        <f t="shared" si="2"/>
        <v>3751.0579041999999</v>
      </c>
      <c r="P15" s="2"/>
    </row>
    <row r="16" spans="2:16" ht="18" customHeight="1">
      <c r="B16" s="272" t="s">
        <v>247</v>
      </c>
      <c r="C16" s="244">
        <f>SUM(C17:C20)</f>
        <v>298.08283119999999</v>
      </c>
      <c r="D16" s="245">
        <f>SUM(D17:D20)</f>
        <v>198.46933916999998</v>
      </c>
      <c r="E16" s="245">
        <f t="shared" ref="E16:N16" si="4">SUM(E17:E20)</f>
        <v>262.76165776999994</v>
      </c>
      <c r="F16" s="245">
        <f t="shared" si="4"/>
        <v>269.45371367999996</v>
      </c>
      <c r="G16" s="245">
        <f t="shared" si="4"/>
        <v>214.58596349999999</v>
      </c>
      <c r="H16" s="245">
        <f t="shared" si="4"/>
        <v>318.11823608999998</v>
      </c>
      <c r="I16" s="245">
        <f t="shared" si="4"/>
        <v>302.39692604999999</v>
      </c>
      <c r="J16" s="245">
        <f t="shared" si="4"/>
        <v>209.57801712999998</v>
      </c>
      <c r="K16" s="245">
        <f t="shared" si="4"/>
        <v>231.33614535999999</v>
      </c>
      <c r="L16" s="245">
        <f t="shared" si="4"/>
        <v>260.41933888</v>
      </c>
      <c r="M16" s="245">
        <f t="shared" si="4"/>
        <v>227.17776430000004</v>
      </c>
      <c r="N16" s="247">
        <f t="shared" si="4"/>
        <v>404.81309035999999</v>
      </c>
      <c r="O16" s="271">
        <f t="shared" si="2"/>
        <v>3197.1930234899996</v>
      </c>
      <c r="P16" s="2"/>
    </row>
    <row r="17" spans="2:17">
      <c r="B17" s="265" t="s">
        <v>136</v>
      </c>
      <c r="C17" s="252">
        <v>81.66027957</v>
      </c>
      <c r="D17" s="250">
        <v>83.275777329999997</v>
      </c>
      <c r="E17" s="250">
        <v>84.403968309999996</v>
      </c>
      <c r="F17" s="250">
        <v>83.703178460000004</v>
      </c>
      <c r="G17" s="250">
        <v>83.870254369999998</v>
      </c>
      <c r="H17" s="250">
        <v>92.801641529999998</v>
      </c>
      <c r="I17" s="250">
        <v>87.401732439999989</v>
      </c>
      <c r="J17" s="250">
        <v>83.427304469999996</v>
      </c>
      <c r="K17" s="250">
        <v>84.040567479999993</v>
      </c>
      <c r="L17" s="250">
        <v>84.52547543</v>
      </c>
      <c r="M17" s="250">
        <v>84.559243030000005</v>
      </c>
      <c r="N17" s="251">
        <v>131.14579513000001</v>
      </c>
      <c r="O17" s="273">
        <f t="shared" si="2"/>
        <v>1064.8152175499999</v>
      </c>
      <c r="P17" s="2"/>
    </row>
    <row r="18" spans="2:17">
      <c r="B18" s="265" t="s">
        <v>248</v>
      </c>
      <c r="C18" s="252">
        <v>34.884551480000006</v>
      </c>
      <c r="D18" s="250">
        <v>29.115459490000003</v>
      </c>
      <c r="E18" s="250">
        <v>54.592851009999997</v>
      </c>
      <c r="F18" s="250">
        <v>23.844155229999998</v>
      </c>
      <c r="G18" s="250">
        <v>40.24078990999999</v>
      </c>
      <c r="H18" s="250">
        <v>43.035235160000006</v>
      </c>
      <c r="I18" s="250">
        <v>31.809945739999996</v>
      </c>
      <c r="J18" s="250">
        <v>35.732105510000004</v>
      </c>
      <c r="K18" s="250">
        <v>41.922723379999994</v>
      </c>
      <c r="L18" s="250">
        <v>40.237259850000001</v>
      </c>
      <c r="M18" s="250">
        <v>35.382255989999997</v>
      </c>
      <c r="N18" s="251">
        <v>72.576336549999979</v>
      </c>
      <c r="O18" s="273">
        <f t="shared" si="2"/>
        <v>483.37366929999996</v>
      </c>
      <c r="P18" s="2"/>
    </row>
    <row r="19" spans="2:17">
      <c r="B19" s="265" t="s">
        <v>249</v>
      </c>
      <c r="C19" s="252">
        <v>80.130171930000003</v>
      </c>
      <c r="D19" s="250">
        <v>13.2237165</v>
      </c>
      <c r="E19" s="250">
        <v>28.673638880000002</v>
      </c>
      <c r="F19" s="250">
        <v>54.896176420000003</v>
      </c>
      <c r="G19" s="250">
        <v>15.116825049999999</v>
      </c>
      <c r="H19" s="250">
        <v>68.970750019999997</v>
      </c>
      <c r="I19" s="250">
        <v>78.873359660000006</v>
      </c>
      <c r="J19" s="250">
        <v>7.6606061599999995</v>
      </c>
      <c r="K19" s="250">
        <v>22.228805439999999</v>
      </c>
      <c r="L19" s="250">
        <v>58.761475290000007</v>
      </c>
      <c r="M19" s="250">
        <v>23.483407200000002</v>
      </c>
      <c r="N19" s="251">
        <v>64.650857569999999</v>
      </c>
      <c r="O19" s="273">
        <f t="shared" si="2"/>
        <v>516.66979012000002</v>
      </c>
      <c r="P19" s="2"/>
    </row>
    <row r="20" spans="2:17">
      <c r="B20" s="265" t="s">
        <v>250</v>
      </c>
      <c r="C20" s="252">
        <f>SUM(C21:C28)</f>
        <v>101.40782822</v>
      </c>
      <c r="D20" s="250">
        <f>SUM(D21:D28)</f>
        <v>72.854385849999986</v>
      </c>
      <c r="E20" s="250">
        <f t="shared" ref="E20:N20" si="5">SUM(E21:E28)</f>
        <v>95.091199569999986</v>
      </c>
      <c r="F20" s="250">
        <f t="shared" si="5"/>
        <v>107.01020356999997</v>
      </c>
      <c r="G20" s="250">
        <f t="shared" si="5"/>
        <v>75.358094170000001</v>
      </c>
      <c r="H20" s="250">
        <f t="shared" si="5"/>
        <v>113.31060937999999</v>
      </c>
      <c r="I20" s="250">
        <f t="shared" si="5"/>
        <v>104.31188820999999</v>
      </c>
      <c r="J20" s="250">
        <f t="shared" si="5"/>
        <v>82.758000989999999</v>
      </c>
      <c r="K20" s="250">
        <f t="shared" si="5"/>
        <v>83.14404906</v>
      </c>
      <c r="L20" s="250">
        <f t="shared" si="5"/>
        <v>76.895128310000004</v>
      </c>
      <c r="M20" s="250">
        <f t="shared" si="5"/>
        <v>83.752858079999996</v>
      </c>
      <c r="N20" s="251">
        <f t="shared" si="5"/>
        <v>136.44010111</v>
      </c>
      <c r="O20" s="273">
        <f t="shared" si="2"/>
        <v>1132.3343465200001</v>
      </c>
      <c r="P20" s="2"/>
      <c r="Q20" s="9"/>
    </row>
    <row r="21" spans="2:17">
      <c r="B21" s="274" t="s">
        <v>251</v>
      </c>
      <c r="C21" s="252">
        <v>34.77102962</v>
      </c>
      <c r="D21" s="250">
        <v>34.826209030000001</v>
      </c>
      <c r="E21" s="250">
        <v>36.922918549999984</v>
      </c>
      <c r="F21" s="250">
        <v>36.194012569999998</v>
      </c>
      <c r="G21" s="250">
        <v>35.996489480000001</v>
      </c>
      <c r="H21" s="250">
        <v>38.322445439999996</v>
      </c>
      <c r="I21" s="250">
        <v>48.233580979999999</v>
      </c>
      <c r="J21" s="250">
        <v>34.587509739999994</v>
      </c>
      <c r="K21" s="250">
        <v>33.93366243000002</v>
      </c>
      <c r="L21" s="250">
        <v>35.659466159999994</v>
      </c>
      <c r="M21" s="250">
        <v>35.505372129999998</v>
      </c>
      <c r="N21" s="251">
        <v>44.237558410000005</v>
      </c>
      <c r="O21" s="273">
        <f t="shared" si="2"/>
        <v>449.19025454000001</v>
      </c>
      <c r="P21" s="2"/>
      <c r="Q21" s="9"/>
    </row>
    <row r="22" spans="2:17">
      <c r="B22" s="274" t="s">
        <v>252</v>
      </c>
      <c r="C22" s="252">
        <v>3.3364999999999999E-2</v>
      </c>
      <c r="D22" s="250">
        <v>3.3454999999999999E-2</v>
      </c>
      <c r="E22" s="250">
        <v>3.3454999999999999E-2</v>
      </c>
      <c r="F22" s="250">
        <v>3.3454999999999999E-2</v>
      </c>
      <c r="G22" s="250">
        <v>0</v>
      </c>
      <c r="H22" s="250">
        <v>2.23456689</v>
      </c>
      <c r="I22" s="250">
        <v>6.6909999999999997E-2</v>
      </c>
      <c r="J22" s="250">
        <v>3.3454999999999999E-2</v>
      </c>
      <c r="K22" s="250">
        <v>6.6909999999999997E-2</v>
      </c>
      <c r="L22" s="250">
        <v>3.3454999999999999E-2</v>
      </c>
      <c r="M22" s="250">
        <v>3.3454999999999999E-2</v>
      </c>
      <c r="N22" s="251">
        <v>0</v>
      </c>
      <c r="O22" s="273">
        <f t="shared" si="2"/>
        <v>2.60248189</v>
      </c>
      <c r="P22" s="2"/>
      <c r="Q22" s="9"/>
    </row>
    <row r="23" spans="2:17">
      <c r="B23" s="274" t="s">
        <v>253</v>
      </c>
      <c r="C23" s="252">
        <v>0.29491884000000002</v>
      </c>
      <c r="D23" s="250">
        <v>0.28276279000000004</v>
      </c>
      <c r="E23" s="250">
        <v>0.30174951999999999</v>
      </c>
      <c r="F23" s="250">
        <v>0.30572753000000003</v>
      </c>
      <c r="G23" s="250">
        <v>0.30859077000000001</v>
      </c>
      <c r="H23" s="250">
        <v>0.40954532999999999</v>
      </c>
      <c r="I23" s="250">
        <v>0.50948958999999994</v>
      </c>
      <c r="J23" s="250">
        <v>0.24407838000000001</v>
      </c>
      <c r="K23" s="250">
        <v>0.22413136</v>
      </c>
      <c r="L23" s="250">
        <v>0.24309635999999998</v>
      </c>
      <c r="M23" s="250">
        <v>0.22946441000000001</v>
      </c>
      <c r="N23" s="251">
        <v>0.28331677999999999</v>
      </c>
      <c r="O23" s="273">
        <f t="shared" si="2"/>
        <v>3.6368716599999997</v>
      </c>
      <c r="P23" s="2"/>
      <c r="Q23" s="9"/>
    </row>
    <row r="24" spans="2:17">
      <c r="B24" s="274" t="s">
        <v>254</v>
      </c>
      <c r="C24" s="252">
        <v>65.325203039999991</v>
      </c>
      <c r="D24" s="250">
        <v>37.419414029999999</v>
      </c>
      <c r="E24" s="250">
        <v>56.78246106000001</v>
      </c>
      <c r="F24" s="250">
        <v>70.135728469999989</v>
      </c>
      <c r="G24" s="250">
        <v>38.694293919999993</v>
      </c>
      <c r="H24" s="250">
        <v>71.376798469999997</v>
      </c>
      <c r="I24" s="250">
        <v>53.57523668999999</v>
      </c>
      <c r="J24" s="250">
        <v>47.090785070000003</v>
      </c>
      <c r="K24" s="250">
        <v>47.915366929999998</v>
      </c>
      <c r="L24" s="250">
        <v>40.353740940000002</v>
      </c>
      <c r="M24" s="250">
        <v>47.164066660000003</v>
      </c>
      <c r="N24" s="251">
        <v>91.755585400000001</v>
      </c>
      <c r="O24" s="273">
        <f t="shared" si="2"/>
        <v>667.58868067999992</v>
      </c>
      <c r="P24" s="2"/>
      <c r="Q24" s="9"/>
    </row>
    <row r="25" spans="2:17">
      <c r="B25" s="274" t="s">
        <v>255</v>
      </c>
      <c r="C25" s="252">
        <v>0.73403671999999998</v>
      </c>
      <c r="D25" s="250">
        <v>6.875E-3</v>
      </c>
      <c r="E25" s="250">
        <v>0.74228238999999996</v>
      </c>
      <c r="F25" s="250">
        <v>0</v>
      </c>
      <c r="G25" s="250">
        <v>0.08</v>
      </c>
      <c r="H25" s="250">
        <v>0.65181325000000001</v>
      </c>
      <c r="I25" s="250">
        <v>1.56585595</v>
      </c>
      <c r="J25" s="250">
        <v>0.45872279999999999</v>
      </c>
      <c r="K25" s="250">
        <v>0.63128333999999997</v>
      </c>
      <c r="L25" s="250">
        <v>0.20489984999999999</v>
      </c>
      <c r="M25" s="250">
        <v>0.48335487999999999</v>
      </c>
      <c r="N25" s="251">
        <v>0.12879909</v>
      </c>
      <c r="O25" s="273">
        <f t="shared" si="2"/>
        <v>5.6879232700000015</v>
      </c>
      <c r="P25" s="2"/>
      <c r="Q25" s="9"/>
    </row>
    <row r="26" spans="2:17">
      <c r="B26" s="274" t="s">
        <v>256</v>
      </c>
      <c r="C26" s="252">
        <v>0.249275</v>
      </c>
      <c r="D26" s="250">
        <v>0.28566999999999998</v>
      </c>
      <c r="E26" s="250">
        <v>0.30833305</v>
      </c>
      <c r="F26" s="250">
        <v>0.34127999999999997</v>
      </c>
      <c r="G26" s="250">
        <v>0.27872000000000002</v>
      </c>
      <c r="H26" s="250">
        <v>0.31544</v>
      </c>
      <c r="I26" s="250">
        <v>0.360815</v>
      </c>
      <c r="J26" s="250">
        <v>0.34344999999999998</v>
      </c>
      <c r="K26" s="250">
        <v>0.372695</v>
      </c>
      <c r="L26" s="250">
        <v>0.40046999999999999</v>
      </c>
      <c r="M26" s="250">
        <v>0.33714499999999997</v>
      </c>
      <c r="N26" s="251">
        <v>3.484143E-2</v>
      </c>
      <c r="O26" s="273">
        <f t="shared" si="2"/>
        <v>3.6281344799999999</v>
      </c>
      <c r="P26" s="2"/>
      <c r="Q26" s="9"/>
    </row>
    <row r="27" spans="2:17">
      <c r="B27" s="274" t="s">
        <v>257</v>
      </c>
      <c r="C27" s="252">
        <v>0</v>
      </c>
      <c r="D27" s="250">
        <v>0</v>
      </c>
      <c r="E27" s="250">
        <v>0</v>
      </c>
      <c r="F27" s="250">
        <v>0</v>
      </c>
      <c r="G27" s="250">
        <v>0</v>
      </c>
      <c r="H27" s="250">
        <v>0</v>
      </c>
      <c r="I27" s="250">
        <v>0</v>
      </c>
      <c r="J27" s="250">
        <v>0</v>
      </c>
      <c r="K27" s="250">
        <v>0</v>
      </c>
      <c r="L27" s="250">
        <v>0</v>
      </c>
      <c r="M27" s="250">
        <v>0</v>
      </c>
      <c r="N27" s="251">
        <v>0</v>
      </c>
      <c r="O27" s="273">
        <f t="shared" si="2"/>
        <v>0</v>
      </c>
      <c r="P27" s="2"/>
      <c r="Q27" s="9"/>
    </row>
    <row r="28" spans="2:17">
      <c r="B28" s="274" t="s">
        <v>258</v>
      </c>
      <c r="C28" s="252">
        <v>0</v>
      </c>
      <c r="D28" s="250">
        <v>0</v>
      </c>
      <c r="E28" s="250">
        <v>0</v>
      </c>
      <c r="F28" s="250">
        <v>0</v>
      </c>
      <c r="G28" s="250">
        <v>0</v>
      </c>
      <c r="H28" s="250">
        <v>0</v>
      </c>
      <c r="I28" s="250">
        <v>0</v>
      </c>
      <c r="J28" s="250">
        <v>0</v>
      </c>
      <c r="K28" s="250">
        <v>0</v>
      </c>
      <c r="L28" s="250">
        <v>0</v>
      </c>
      <c r="M28" s="250">
        <v>0</v>
      </c>
      <c r="N28" s="251">
        <v>0</v>
      </c>
      <c r="O28" s="273">
        <f t="shared" si="2"/>
        <v>0</v>
      </c>
      <c r="P28" s="2"/>
      <c r="Q28" s="9"/>
    </row>
    <row r="29" spans="2:17" ht="18" customHeight="1">
      <c r="B29" s="272" t="s">
        <v>259</v>
      </c>
      <c r="C29" s="244">
        <f>SUM(C30:C31)</f>
        <v>39.212162399999997</v>
      </c>
      <c r="D29" s="245">
        <f>SUM(D30:D31)</f>
        <v>53.03333280999999</v>
      </c>
      <c r="E29" s="245">
        <f t="shared" ref="E29:N29" si="6">SUM(E30:E31)</f>
        <v>35.224387409999999</v>
      </c>
      <c r="F29" s="245">
        <f t="shared" si="6"/>
        <v>39.981441369999999</v>
      </c>
      <c r="G29" s="245">
        <f t="shared" si="6"/>
        <v>42.63036932</v>
      </c>
      <c r="H29" s="245">
        <f t="shared" si="6"/>
        <v>68.267225639999992</v>
      </c>
      <c r="I29" s="245">
        <f t="shared" si="6"/>
        <v>59.739604110000002</v>
      </c>
      <c r="J29" s="245">
        <f t="shared" si="6"/>
        <v>58.634807820000006</v>
      </c>
      <c r="K29" s="245">
        <f t="shared" si="6"/>
        <v>36.156963180000005</v>
      </c>
      <c r="L29" s="245">
        <f t="shared" si="6"/>
        <v>37.900577519999999</v>
      </c>
      <c r="M29" s="245">
        <f t="shared" si="6"/>
        <v>37.211709830000004</v>
      </c>
      <c r="N29" s="247">
        <f t="shared" si="6"/>
        <v>50.48304195</v>
      </c>
      <c r="O29" s="271">
        <f t="shared" si="2"/>
        <v>558.47562335999999</v>
      </c>
      <c r="P29" s="2"/>
      <c r="Q29" s="9"/>
    </row>
    <row r="30" spans="2:17">
      <c r="B30" s="265" t="s">
        <v>260</v>
      </c>
      <c r="C30" s="252">
        <v>6.5912632300000009</v>
      </c>
      <c r="D30" s="250">
        <v>22.186766979999998</v>
      </c>
      <c r="E30" s="250">
        <v>15.45927315</v>
      </c>
      <c r="F30" s="250">
        <v>9.2563491599999992</v>
      </c>
      <c r="G30" s="250">
        <v>9.0231116399999998</v>
      </c>
      <c r="H30" s="250">
        <v>12.717638389999998</v>
      </c>
      <c r="I30" s="250">
        <v>18.168420000000001</v>
      </c>
      <c r="J30" s="250">
        <v>30.850169160000004</v>
      </c>
      <c r="K30" s="250">
        <v>6.9851373300000006</v>
      </c>
      <c r="L30" s="250">
        <v>11.21695107</v>
      </c>
      <c r="M30" s="250">
        <v>8.0604731400000009</v>
      </c>
      <c r="N30" s="251">
        <v>23.399066640000001</v>
      </c>
      <c r="O30" s="273">
        <f t="shared" si="2"/>
        <v>173.91461988999998</v>
      </c>
      <c r="P30" s="2"/>
      <c r="Q30" s="9"/>
    </row>
    <row r="31" spans="2:17">
      <c r="B31" s="265" t="s">
        <v>261</v>
      </c>
      <c r="C31" s="252">
        <f>SUM(C32:C39)</f>
        <v>32.620899169999994</v>
      </c>
      <c r="D31" s="250">
        <f>SUM(D32:D39)</f>
        <v>30.846565829999996</v>
      </c>
      <c r="E31" s="250">
        <f t="shared" ref="E31:N31" si="7">SUM(E32:E39)</f>
        <v>19.765114259999997</v>
      </c>
      <c r="F31" s="250">
        <f t="shared" si="7"/>
        <v>30.72509221</v>
      </c>
      <c r="G31" s="250">
        <f t="shared" si="7"/>
        <v>33.607257679999996</v>
      </c>
      <c r="H31" s="250">
        <f t="shared" si="7"/>
        <v>55.549587250000002</v>
      </c>
      <c r="I31" s="250">
        <f t="shared" si="7"/>
        <v>41.571184109999997</v>
      </c>
      <c r="J31" s="250">
        <f t="shared" si="7"/>
        <v>27.784638660000002</v>
      </c>
      <c r="K31" s="250">
        <f t="shared" si="7"/>
        <v>29.171825850000001</v>
      </c>
      <c r="L31" s="250">
        <f t="shared" si="7"/>
        <v>26.683626449999998</v>
      </c>
      <c r="M31" s="250">
        <f t="shared" si="7"/>
        <v>29.151236690000001</v>
      </c>
      <c r="N31" s="251">
        <f t="shared" si="7"/>
        <v>27.08397531</v>
      </c>
      <c r="O31" s="273">
        <f t="shared" si="2"/>
        <v>384.56100347000006</v>
      </c>
      <c r="P31" s="2"/>
      <c r="Q31" s="9"/>
    </row>
    <row r="32" spans="2:17">
      <c r="B32" s="274" t="s">
        <v>251</v>
      </c>
      <c r="C32" s="252">
        <v>19.126286979999996</v>
      </c>
      <c r="D32" s="250">
        <v>19.889459819999999</v>
      </c>
      <c r="E32" s="250">
        <v>0.69030384</v>
      </c>
      <c r="F32" s="250">
        <v>19.68797627</v>
      </c>
      <c r="G32" s="250">
        <v>19.960483759999999</v>
      </c>
      <c r="H32" s="250">
        <v>38.770706419999996</v>
      </c>
      <c r="I32" s="250">
        <v>19.930216299999998</v>
      </c>
      <c r="J32" s="250">
        <v>19.238320649999999</v>
      </c>
      <c r="K32" s="250">
        <v>19.066790879999999</v>
      </c>
      <c r="L32" s="250">
        <v>18.948848909999999</v>
      </c>
      <c r="M32" s="250">
        <v>19.140059479999998</v>
      </c>
      <c r="N32" s="251">
        <v>20.053020740000001</v>
      </c>
      <c r="O32" s="273">
        <f t="shared" si="2"/>
        <v>234.50247404999999</v>
      </c>
      <c r="P32" s="2"/>
      <c r="Q32" s="9"/>
    </row>
    <row r="33" spans="2:17">
      <c r="B33" s="274" t="s">
        <v>252</v>
      </c>
      <c r="C33" s="252">
        <v>0</v>
      </c>
      <c r="D33" s="250">
        <v>0</v>
      </c>
      <c r="E33" s="250">
        <v>0.125</v>
      </c>
      <c r="F33" s="250">
        <v>0</v>
      </c>
      <c r="G33" s="250">
        <v>0</v>
      </c>
      <c r="H33" s="250">
        <v>0</v>
      </c>
      <c r="I33" s="250">
        <v>8.0071420000000004E-2</v>
      </c>
      <c r="J33" s="250">
        <v>0</v>
      </c>
      <c r="K33" s="250">
        <v>0.28853899999999999</v>
      </c>
      <c r="L33" s="250">
        <v>0.187056</v>
      </c>
      <c r="M33" s="250">
        <v>0.119292</v>
      </c>
      <c r="N33" s="251">
        <v>0.20867753</v>
      </c>
      <c r="O33" s="273">
        <f t="shared" si="2"/>
        <v>1.0086359499999999</v>
      </c>
      <c r="P33" s="2"/>
      <c r="Q33" s="9"/>
    </row>
    <row r="34" spans="2:17">
      <c r="B34" s="274" t="s">
        <v>253</v>
      </c>
      <c r="C34" s="252">
        <v>1</v>
      </c>
      <c r="D34" s="250">
        <v>0</v>
      </c>
      <c r="E34" s="250">
        <v>0</v>
      </c>
      <c r="F34" s="250">
        <v>0</v>
      </c>
      <c r="G34" s="250">
        <v>2.2403623399999999</v>
      </c>
      <c r="H34" s="250">
        <v>2.1</v>
      </c>
      <c r="I34" s="250">
        <v>0</v>
      </c>
      <c r="J34" s="250">
        <v>0</v>
      </c>
      <c r="K34" s="250">
        <v>0</v>
      </c>
      <c r="L34" s="250">
        <v>0</v>
      </c>
      <c r="M34" s="250">
        <v>0</v>
      </c>
      <c r="N34" s="251">
        <v>0</v>
      </c>
      <c r="O34" s="273">
        <f t="shared" si="2"/>
        <v>5.3403623400000004</v>
      </c>
      <c r="P34" s="2"/>
      <c r="Q34" s="9"/>
    </row>
    <row r="35" spans="2:17">
      <c r="B35" s="274" t="s">
        <v>262</v>
      </c>
      <c r="C35" s="252">
        <v>0.2</v>
      </c>
      <c r="D35" s="250">
        <v>9.1803639999999992E-2</v>
      </c>
      <c r="E35" s="250">
        <v>2.6215000000000002</v>
      </c>
      <c r="F35" s="250">
        <v>2.47776</v>
      </c>
      <c r="G35" s="250">
        <v>0.56093000000000004</v>
      </c>
      <c r="H35" s="250">
        <v>1.9316812699999999</v>
      </c>
      <c r="I35" s="250">
        <v>0</v>
      </c>
      <c r="J35" s="250">
        <v>2.75305</v>
      </c>
      <c r="K35" s="250">
        <v>3.1</v>
      </c>
      <c r="L35" s="250">
        <v>1.7060999999999999</v>
      </c>
      <c r="M35" s="250">
        <v>1.6530499999999999</v>
      </c>
      <c r="N35" s="251">
        <v>0.95269740999999997</v>
      </c>
      <c r="O35" s="273">
        <f t="shared" si="2"/>
        <v>18.048572319999998</v>
      </c>
      <c r="P35" s="2"/>
      <c r="Q35" s="9"/>
    </row>
    <row r="36" spans="2:17">
      <c r="B36" s="274" t="s">
        <v>263</v>
      </c>
      <c r="C36" s="252">
        <v>3.0954189999999999E-2</v>
      </c>
      <c r="D36" s="250">
        <v>10.865302369999998</v>
      </c>
      <c r="E36" s="250">
        <v>9.6859440199999991</v>
      </c>
      <c r="F36" s="250">
        <v>6.0076739999999997E-2</v>
      </c>
      <c r="G36" s="250">
        <v>4.5804629800000001</v>
      </c>
      <c r="H36" s="250">
        <v>6.7999200000000002</v>
      </c>
      <c r="I36" s="250">
        <v>10.52075947</v>
      </c>
      <c r="J36" s="250">
        <v>0.16402699999999998</v>
      </c>
      <c r="K36" s="250">
        <v>1.3945156399999998</v>
      </c>
      <c r="L36" s="250">
        <v>0.36950413999999998</v>
      </c>
      <c r="M36" s="250">
        <v>0.10122740999999999</v>
      </c>
      <c r="N36" s="251">
        <v>3.6695796299999999</v>
      </c>
      <c r="O36" s="273">
        <f t="shared" si="2"/>
        <v>48.242273589999996</v>
      </c>
      <c r="P36" s="2"/>
      <c r="Q36" s="9"/>
    </row>
    <row r="37" spans="2:17">
      <c r="B37" s="274" t="s">
        <v>264</v>
      </c>
      <c r="C37" s="252">
        <v>0</v>
      </c>
      <c r="D37" s="250">
        <v>0</v>
      </c>
      <c r="E37" s="250">
        <v>0.4</v>
      </c>
      <c r="F37" s="250">
        <v>3</v>
      </c>
      <c r="G37" s="250">
        <v>0</v>
      </c>
      <c r="H37" s="250">
        <v>0</v>
      </c>
      <c r="I37" s="250">
        <v>0</v>
      </c>
      <c r="J37" s="250">
        <v>0</v>
      </c>
      <c r="K37" s="250">
        <v>0</v>
      </c>
      <c r="L37" s="250">
        <v>0</v>
      </c>
      <c r="M37" s="250">
        <v>2.2999999999999998</v>
      </c>
      <c r="N37" s="251">
        <v>2.2000000000000002</v>
      </c>
      <c r="O37" s="273">
        <f t="shared" si="2"/>
        <v>7.8999999999999995</v>
      </c>
      <c r="P37" s="2"/>
      <c r="Q37" s="9"/>
    </row>
    <row r="38" spans="2:17">
      <c r="B38" s="274" t="s">
        <v>265</v>
      </c>
      <c r="C38" s="252">
        <v>0.34286</v>
      </c>
      <c r="D38" s="250">
        <v>0</v>
      </c>
      <c r="E38" s="250">
        <v>0.28799999999999998</v>
      </c>
      <c r="F38" s="250">
        <v>0</v>
      </c>
      <c r="G38" s="250">
        <v>0</v>
      </c>
      <c r="H38" s="250">
        <v>0.34286</v>
      </c>
      <c r="I38" s="250">
        <v>0</v>
      </c>
      <c r="J38" s="250">
        <v>0</v>
      </c>
      <c r="K38" s="250">
        <v>0</v>
      </c>
      <c r="L38" s="250">
        <v>0</v>
      </c>
      <c r="M38" s="250">
        <v>0</v>
      </c>
      <c r="N38" s="251">
        <v>0</v>
      </c>
      <c r="O38" s="273">
        <f t="shared" si="2"/>
        <v>0.97371999999999992</v>
      </c>
      <c r="P38" s="2"/>
      <c r="Q38" s="9"/>
    </row>
    <row r="39" spans="2:17">
      <c r="B39" s="274" t="s">
        <v>266</v>
      </c>
      <c r="C39" s="252">
        <v>11.920798</v>
      </c>
      <c r="D39" s="250">
        <v>0</v>
      </c>
      <c r="E39" s="250">
        <v>5.9543663999999996</v>
      </c>
      <c r="F39" s="250">
        <v>5.4992792000000001</v>
      </c>
      <c r="G39" s="250">
        <v>6.2650186000000003</v>
      </c>
      <c r="H39" s="250">
        <v>5.6044195600000002</v>
      </c>
      <c r="I39" s="250">
        <v>11.04013692</v>
      </c>
      <c r="J39" s="250">
        <v>5.6292410100000003</v>
      </c>
      <c r="K39" s="250">
        <v>5.3219803299999997</v>
      </c>
      <c r="L39" s="250">
        <v>5.4721174000000001</v>
      </c>
      <c r="M39" s="250">
        <v>5.8376077999999998</v>
      </c>
      <c r="N39" s="251">
        <v>0</v>
      </c>
      <c r="O39" s="273">
        <f t="shared" si="2"/>
        <v>68.544965220000009</v>
      </c>
      <c r="P39" s="2"/>
      <c r="Q39" s="9"/>
    </row>
    <row r="40" spans="2:17" ht="18" customHeight="1">
      <c r="B40" s="275" t="s">
        <v>267</v>
      </c>
      <c r="C40" s="257">
        <f>SUM(C41:C45)</f>
        <v>-0.35831559000000002</v>
      </c>
      <c r="D40" s="258">
        <f>SUM(D41:D45)</f>
        <v>-6.0570499999999996E-3</v>
      </c>
      <c r="E40" s="258">
        <f t="shared" ref="E40:N40" si="8">SUM(E41:E45)</f>
        <v>-1.6316480000000001E-2</v>
      </c>
      <c r="F40" s="258">
        <f t="shared" si="8"/>
        <v>-2.34898761</v>
      </c>
      <c r="G40" s="258">
        <f t="shared" si="8"/>
        <v>-3.9600139999999999E-2</v>
      </c>
      <c r="H40" s="258">
        <f t="shared" si="8"/>
        <v>-0.78143496000000001</v>
      </c>
      <c r="I40" s="258">
        <f t="shared" si="8"/>
        <v>-0.25428561</v>
      </c>
      <c r="J40" s="258">
        <f t="shared" si="8"/>
        <v>0</v>
      </c>
      <c r="K40" s="258">
        <f t="shared" si="8"/>
        <v>0</v>
      </c>
      <c r="L40" s="258">
        <f t="shared" si="8"/>
        <v>0</v>
      </c>
      <c r="M40" s="258">
        <f t="shared" si="8"/>
        <v>-5.7389999999999998E-5</v>
      </c>
      <c r="N40" s="259">
        <f t="shared" si="8"/>
        <v>-0.80568782000000005</v>
      </c>
      <c r="O40" s="276">
        <f t="shared" si="2"/>
        <v>-4.6107426499999997</v>
      </c>
      <c r="P40" s="2"/>
      <c r="Q40" s="9"/>
    </row>
    <row r="41" spans="2:17" hidden="1">
      <c r="B41" s="265" t="s">
        <v>251</v>
      </c>
      <c r="C41" s="252">
        <v>0</v>
      </c>
      <c r="D41" s="250">
        <v>0</v>
      </c>
      <c r="E41" s="250">
        <v>0</v>
      </c>
      <c r="F41" s="250">
        <v>-2.34898761</v>
      </c>
      <c r="G41" s="250">
        <v>0</v>
      </c>
      <c r="H41" s="250">
        <v>0</v>
      </c>
      <c r="I41" s="250">
        <v>-0.20904760999999999</v>
      </c>
      <c r="J41" s="250">
        <v>0</v>
      </c>
      <c r="K41" s="250">
        <v>0</v>
      </c>
      <c r="L41" s="250">
        <v>0</v>
      </c>
      <c r="M41" s="250">
        <v>0</v>
      </c>
      <c r="N41" s="251">
        <v>0</v>
      </c>
      <c r="O41" s="273">
        <f t="shared" si="2"/>
        <v>-2.5580352199999998</v>
      </c>
      <c r="P41" s="2"/>
      <c r="Q41" s="9"/>
    </row>
    <row r="42" spans="2:17" hidden="1">
      <c r="B42" s="265" t="s">
        <v>252</v>
      </c>
      <c r="C42" s="252">
        <v>0</v>
      </c>
      <c r="D42" s="250">
        <v>0</v>
      </c>
      <c r="E42" s="250">
        <v>0</v>
      </c>
      <c r="F42" s="250">
        <v>0</v>
      </c>
      <c r="G42" s="250">
        <v>0</v>
      </c>
      <c r="H42" s="250">
        <v>-0.56038178000000005</v>
      </c>
      <c r="I42" s="250">
        <v>0</v>
      </c>
      <c r="J42" s="250">
        <v>0</v>
      </c>
      <c r="K42" s="250">
        <v>0</v>
      </c>
      <c r="L42" s="250">
        <v>0</v>
      </c>
      <c r="M42" s="250">
        <v>0</v>
      </c>
      <c r="N42" s="251">
        <v>-0.58166457000000005</v>
      </c>
      <c r="O42" s="273">
        <f t="shared" si="2"/>
        <v>-1.1420463500000002</v>
      </c>
      <c r="P42" s="2"/>
      <c r="Q42" s="9"/>
    </row>
    <row r="43" spans="2:17" hidden="1">
      <c r="B43" s="265" t="s">
        <v>253</v>
      </c>
      <c r="C43" s="252">
        <v>-4.5238E-2</v>
      </c>
      <c r="D43" s="250">
        <v>0</v>
      </c>
      <c r="E43" s="250">
        <v>0</v>
      </c>
      <c r="F43" s="250"/>
      <c r="G43" s="250">
        <v>-3.9600139999999999E-2</v>
      </c>
      <c r="H43" s="250"/>
      <c r="I43" s="250">
        <v>-4.5238E-2</v>
      </c>
      <c r="J43" s="250"/>
      <c r="K43" s="250"/>
      <c r="L43" s="250"/>
      <c r="M43" s="250">
        <v>-5.7389999999999998E-5</v>
      </c>
      <c r="N43" s="251"/>
      <c r="O43" s="273">
        <f t="shared" si="2"/>
        <v>-0.13013353</v>
      </c>
      <c r="P43" s="2"/>
      <c r="Q43" s="9"/>
    </row>
    <row r="44" spans="2:17" hidden="1">
      <c r="B44" s="265" t="s">
        <v>254</v>
      </c>
      <c r="C44" s="252">
        <v>-0.31307759000000002</v>
      </c>
      <c r="D44" s="250">
        <v>-6.0570499999999996E-3</v>
      </c>
      <c r="E44" s="250">
        <v>-1.6316480000000001E-2</v>
      </c>
      <c r="F44" s="250"/>
      <c r="G44" s="250"/>
      <c r="H44" s="250">
        <v>-0.22105317999999999</v>
      </c>
      <c r="I44" s="250"/>
      <c r="J44" s="250"/>
      <c r="K44" s="250"/>
      <c r="L44" s="250"/>
      <c r="M44" s="250"/>
      <c r="N44" s="251">
        <v>-0.22402325000000001</v>
      </c>
      <c r="O44" s="273">
        <f t="shared" si="2"/>
        <v>-0.78052755000000007</v>
      </c>
      <c r="P44" s="2"/>
      <c r="Q44" s="9"/>
    </row>
    <row r="45" spans="2:17" hidden="1">
      <c r="B45" s="265" t="s">
        <v>268</v>
      </c>
      <c r="C45" s="252"/>
      <c r="D45" s="250"/>
      <c r="E45" s="250"/>
      <c r="F45" s="250"/>
      <c r="G45" s="250"/>
      <c r="H45" s="250"/>
      <c r="I45" s="250"/>
      <c r="J45" s="250"/>
      <c r="K45" s="250"/>
      <c r="L45" s="250"/>
      <c r="M45" s="250"/>
      <c r="N45" s="251"/>
      <c r="O45" s="273">
        <f t="shared" si="2"/>
        <v>0</v>
      </c>
      <c r="P45" s="2"/>
      <c r="Q45" s="9"/>
    </row>
    <row r="46" spans="2:17" ht="24.95" hidden="1" customHeight="1">
      <c r="B46" s="25" t="s">
        <v>269</v>
      </c>
      <c r="C46" s="244">
        <f>C9-C16</f>
        <v>-28.881324720000066</v>
      </c>
      <c r="D46" s="245">
        <f>D9-D16</f>
        <v>26.606461900000028</v>
      </c>
      <c r="E46" s="245">
        <f t="shared" ref="E46:N46" si="9">E9-E16</f>
        <v>-33.921947469999935</v>
      </c>
      <c r="F46" s="245">
        <f t="shared" si="9"/>
        <v>129.44955949000001</v>
      </c>
      <c r="G46" s="245">
        <f t="shared" si="9"/>
        <v>29.491990980000026</v>
      </c>
      <c r="H46" s="245">
        <f t="shared" si="9"/>
        <v>-88.012039550000026</v>
      </c>
      <c r="I46" s="245">
        <f t="shared" si="9"/>
        <v>-70.053829240000027</v>
      </c>
      <c r="J46" s="245">
        <f t="shared" si="9"/>
        <v>15.595748750000013</v>
      </c>
      <c r="K46" s="245">
        <f t="shared" si="9"/>
        <v>-17.146090269999974</v>
      </c>
      <c r="L46" s="245">
        <f t="shared" si="9"/>
        <v>-19.565219109999987</v>
      </c>
      <c r="M46" s="245">
        <f t="shared" si="9"/>
        <v>-0.49819287000005374</v>
      </c>
      <c r="N46" s="247">
        <f t="shared" si="9"/>
        <v>-171.43814096999998</v>
      </c>
      <c r="O46" s="271">
        <f t="shared" si="2"/>
        <v>-228.37302307999997</v>
      </c>
      <c r="P46" s="2"/>
      <c r="Q46" s="9"/>
    </row>
    <row r="47" spans="2:17" ht="24.95" hidden="1" customHeight="1">
      <c r="B47" s="25" t="s">
        <v>296</v>
      </c>
      <c r="C47" s="252"/>
      <c r="D47" s="250"/>
      <c r="E47" s="250"/>
      <c r="F47" s="250"/>
      <c r="G47" s="250"/>
      <c r="H47" s="250"/>
      <c r="I47" s="250"/>
      <c r="J47" s="250"/>
      <c r="K47" s="250"/>
      <c r="L47" s="250"/>
      <c r="M47" s="250"/>
      <c r="N47" s="251"/>
      <c r="O47" s="273"/>
      <c r="P47" s="2"/>
      <c r="Q47" s="9"/>
    </row>
    <row r="48" spans="2:17" ht="18" hidden="1" customHeight="1">
      <c r="B48" s="272" t="s">
        <v>272</v>
      </c>
      <c r="C48" s="244">
        <f>C8-C15</f>
        <v>-67.614620310000078</v>
      </c>
      <c r="D48" s="245">
        <f>D8-D15</f>
        <v>-25.523997459999947</v>
      </c>
      <c r="E48" s="245">
        <f t="shared" ref="E48:N48" si="10">E8-E15</f>
        <v>-68.914595809999952</v>
      </c>
      <c r="F48" s="245">
        <f t="shared" si="10"/>
        <v>92.619046800000035</v>
      </c>
      <c r="G48" s="245">
        <f t="shared" si="10"/>
        <v>-12.564256639999968</v>
      </c>
      <c r="H48" s="245">
        <f t="shared" si="10"/>
        <v>-155.40614010000002</v>
      </c>
      <c r="I48" s="245">
        <f t="shared" si="10"/>
        <v>-129.24914774000004</v>
      </c>
      <c r="J48" s="245">
        <f t="shared" si="10"/>
        <v>-42.81905906999998</v>
      </c>
      <c r="K48" s="245">
        <f t="shared" si="10"/>
        <v>-41.115753449999971</v>
      </c>
      <c r="L48" s="245">
        <f t="shared" si="10"/>
        <v>-55.96579663</v>
      </c>
      <c r="M48" s="245">
        <f t="shared" si="10"/>
        <v>-37.709845310000077</v>
      </c>
      <c r="N48" s="247">
        <f t="shared" si="10"/>
        <v>-218.93859509999996</v>
      </c>
      <c r="O48" s="271">
        <f t="shared" si="2"/>
        <v>-763.20276081999998</v>
      </c>
      <c r="P48" s="2"/>
      <c r="Q48" s="9"/>
    </row>
    <row r="49" spans="2:17" ht="18" hidden="1" customHeight="1">
      <c r="B49" s="272" t="s">
        <v>273</v>
      </c>
      <c r="C49" s="244">
        <f>C48-C14</f>
        <v>-67.735171530000073</v>
      </c>
      <c r="D49" s="245">
        <f>D48-D14</f>
        <v>-26.420813859999946</v>
      </c>
      <c r="E49" s="245">
        <f t="shared" ref="E49:N49" si="11">E48-E14</f>
        <v>-69.130018399999955</v>
      </c>
      <c r="F49" s="245">
        <f t="shared" si="11"/>
        <v>91.817105730000037</v>
      </c>
      <c r="G49" s="245">
        <f t="shared" si="11"/>
        <v>-13.073873199999968</v>
      </c>
      <c r="H49" s="245">
        <f t="shared" si="11"/>
        <v>-155.48305296000001</v>
      </c>
      <c r="I49" s="245">
        <f t="shared" si="11"/>
        <v>-129.53914774000003</v>
      </c>
      <c r="J49" s="245">
        <f t="shared" si="11"/>
        <v>-43.039059069999979</v>
      </c>
      <c r="K49" s="245">
        <f t="shared" si="11"/>
        <v>-53.303053449999972</v>
      </c>
      <c r="L49" s="245">
        <f t="shared" si="11"/>
        <v>-57.46579663</v>
      </c>
      <c r="M49" s="245">
        <f t="shared" si="11"/>
        <v>-37.709845310000077</v>
      </c>
      <c r="N49" s="247">
        <f t="shared" si="11"/>
        <v>-221.11389509999995</v>
      </c>
      <c r="O49" s="271">
        <f t="shared" si="2"/>
        <v>-782.19662151999989</v>
      </c>
      <c r="P49" s="2"/>
      <c r="Q49" s="9"/>
    </row>
    <row r="50" spans="2:17" ht="18" hidden="1" customHeight="1">
      <c r="B50" s="272" t="s">
        <v>274</v>
      </c>
      <c r="C50" s="244">
        <f>C48-C73</f>
        <v>-95.120825310000072</v>
      </c>
      <c r="D50" s="245">
        <f>D48-D73</f>
        <v>-53.132972459999948</v>
      </c>
      <c r="E50" s="245">
        <f t="shared" ref="E50:N50" si="12">E48-E73</f>
        <v>-95.964910809999949</v>
      </c>
      <c r="F50" s="245">
        <f t="shared" si="12"/>
        <v>66.236191800000029</v>
      </c>
      <c r="G50" s="245">
        <f t="shared" si="12"/>
        <v>-40.204601639999964</v>
      </c>
      <c r="H50" s="245">
        <f t="shared" si="12"/>
        <v>-182.86606525000002</v>
      </c>
      <c r="I50" s="245">
        <f t="shared" si="12"/>
        <v>-156.35089593000004</v>
      </c>
      <c r="J50" s="245">
        <f t="shared" si="12"/>
        <v>-70.249762849999982</v>
      </c>
      <c r="K50" s="245">
        <f t="shared" si="12"/>
        <v>-67.929748429999975</v>
      </c>
      <c r="L50" s="245">
        <f t="shared" si="12"/>
        <v>-83.738135</v>
      </c>
      <c r="M50" s="245">
        <f t="shared" si="12"/>
        <v>-65.463408900000076</v>
      </c>
      <c r="N50" s="247">
        <f t="shared" si="12"/>
        <v>-264.35448078999997</v>
      </c>
      <c r="O50" s="271">
        <f t="shared" si="2"/>
        <v>-1109.1396155700002</v>
      </c>
      <c r="P50" s="2"/>
      <c r="Q50" s="9"/>
    </row>
    <row r="51" spans="2:17" ht="24.95" hidden="1" customHeight="1">
      <c r="B51" s="25" t="s">
        <v>275</v>
      </c>
      <c r="C51" s="244">
        <f>SUM(C52:C53)</f>
        <v>-6.2839000000000009</v>
      </c>
      <c r="D51" s="245">
        <f>SUM(D52:D53)</f>
        <v>-12.660886799999997</v>
      </c>
      <c r="E51" s="245">
        <f t="shared" ref="E51:N51" si="13">SUM(E52:E53)</f>
        <v>179.65099999999998</v>
      </c>
      <c r="F51" s="245">
        <f t="shared" si="13"/>
        <v>-12.100000000000001</v>
      </c>
      <c r="G51" s="245">
        <f t="shared" si="13"/>
        <v>-20.199999999999996</v>
      </c>
      <c r="H51" s="245">
        <f t="shared" si="13"/>
        <v>-13.9</v>
      </c>
      <c r="I51" s="245">
        <f t="shared" si="13"/>
        <v>-18.16451047</v>
      </c>
      <c r="J51" s="245">
        <f t="shared" si="13"/>
        <v>-5.1000000000000014</v>
      </c>
      <c r="K51" s="245">
        <f t="shared" si="13"/>
        <v>-19.6081</v>
      </c>
      <c r="L51" s="245">
        <f t="shared" si="13"/>
        <v>285.76149939999999</v>
      </c>
      <c r="M51" s="245">
        <f t="shared" si="13"/>
        <v>-27.86184695</v>
      </c>
      <c r="N51" s="247">
        <f t="shared" si="13"/>
        <v>377.6</v>
      </c>
      <c r="O51" s="271">
        <f t="shared" si="2"/>
        <v>707.13325517999999</v>
      </c>
      <c r="P51" s="2"/>
      <c r="Q51" s="9"/>
    </row>
    <row r="52" spans="2:17" hidden="1">
      <c r="B52" s="35" t="s">
        <v>276</v>
      </c>
      <c r="C52" s="252">
        <v>9.1999999999999993</v>
      </c>
      <c r="D52" s="250">
        <v>9.1000000000000014</v>
      </c>
      <c r="E52" s="250">
        <v>202.6</v>
      </c>
      <c r="F52" s="250">
        <v>5.7999999999999972</v>
      </c>
      <c r="G52" s="250">
        <v>10.000000000000002</v>
      </c>
      <c r="H52" s="250">
        <v>5.0999999999999996</v>
      </c>
      <c r="I52" s="250">
        <v>3.0778962400000003</v>
      </c>
      <c r="J52" s="250">
        <v>4.2999999999999989</v>
      </c>
      <c r="K52" s="250">
        <v>5.4918999999999993</v>
      </c>
      <c r="L52" s="250">
        <v>303.26149939999999</v>
      </c>
      <c r="M52" s="250">
        <v>4.5</v>
      </c>
      <c r="N52" s="251">
        <v>403.6</v>
      </c>
      <c r="O52" s="273">
        <f t="shared" si="2"/>
        <v>966.03129563999994</v>
      </c>
      <c r="P52" s="2"/>
      <c r="Q52" s="9"/>
    </row>
    <row r="53" spans="2:17" hidden="1">
      <c r="B53" s="35" t="s">
        <v>277</v>
      </c>
      <c r="C53" s="252">
        <v>-15.4839</v>
      </c>
      <c r="D53" s="250">
        <v>-21.760886799999998</v>
      </c>
      <c r="E53" s="250">
        <v>-22.949000000000002</v>
      </c>
      <c r="F53" s="250">
        <v>-17.899999999999999</v>
      </c>
      <c r="G53" s="250">
        <v>-30.2</v>
      </c>
      <c r="H53" s="250">
        <v>-19</v>
      </c>
      <c r="I53" s="250">
        <v>-21.242406710000001</v>
      </c>
      <c r="J53" s="250">
        <v>-9.4</v>
      </c>
      <c r="K53" s="250">
        <v>-25.1</v>
      </c>
      <c r="L53" s="250">
        <v>-17.5</v>
      </c>
      <c r="M53" s="250">
        <v>-32.36184695</v>
      </c>
      <c r="N53" s="251">
        <v>-26</v>
      </c>
      <c r="O53" s="273">
        <f t="shared" si="2"/>
        <v>-258.89804046</v>
      </c>
      <c r="P53" s="2"/>
      <c r="Q53" s="9"/>
    </row>
    <row r="54" spans="2:17" ht="24.95" hidden="1" customHeight="1">
      <c r="B54" s="25" t="s">
        <v>278</v>
      </c>
      <c r="C54" s="244">
        <f>+C55+C58+C61+C64+C65</f>
        <v>73.834920640000092</v>
      </c>
      <c r="D54" s="245">
        <f>+D55+D58+D61+D64+D65</f>
        <v>20.650281649999933</v>
      </c>
      <c r="E54" s="245">
        <f t="shared" ref="E54:N54" si="14">+E55+E58+E61+E64+E65</f>
        <v>-113.80890395000003</v>
      </c>
      <c r="F54" s="245">
        <f t="shared" si="14"/>
        <v>-80.63614680000002</v>
      </c>
      <c r="G54" s="245">
        <f t="shared" si="14"/>
        <v>29.374934189999948</v>
      </c>
      <c r="H54" s="245">
        <f t="shared" si="14"/>
        <v>169.30614010000002</v>
      </c>
      <c r="I54" s="245">
        <f t="shared" si="14"/>
        <v>147.41365821000005</v>
      </c>
      <c r="J54" s="245">
        <f t="shared" si="14"/>
        <v>47.919059069999982</v>
      </c>
      <c r="K54" s="245">
        <f t="shared" si="14"/>
        <v>60.723853449999979</v>
      </c>
      <c r="L54" s="245">
        <f t="shared" si="14"/>
        <v>-229.79570276999999</v>
      </c>
      <c r="M54" s="245">
        <f t="shared" si="14"/>
        <v>65.571692260000077</v>
      </c>
      <c r="N54" s="247">
        <f t="shared" si="14"/>
        <v>-158.66140490000009</v>
      </c>
      <c r="O54" s="271">
        <f>SUM(C54:N54)</f>
        <v>31.892381149999949</v>
      </c>
      <c r="P54" s="2"/>
      <c r="Q54" s="9"/>
    </row>
    <row r="55" spans="2:17" hidden="1">
      <c r="B55" s="35" t="s">
        <v>279</v>
      </c>
      <c r="C55" s="252">
        <f>+C56+C57</f>
        <v>183.42</v>
      </c>
      <c r="D55" s="250">
        <f>+D56+D57</f>
        <v>17.582999999999998</v>
      </c>
      <c r="E55" s="250">
        <f t="shared" ref="E55:N55" si="15">+E56+E57</f>
        <v>-77.69</v>
      </c>
      <c r="F55" s="250">
        <f t="shared" si="15"/>
        <v>2.9849999999999999</v>
      </c>
      <c r="G55" s="250">
        <f t="shared" si="15"/>
        <v>-370.84899999999999</v>
      </c>
      <c r="H55" s="250">
        <f t="shared" si="15"/>
        <v>163.29</v>
      </c>
      <c r="I55" s="250">
        <f t="shared" si="15"/>
        <v>119.953</v>
      </c>
      <c r="J55" s="250">
        <f t="shared" si="15"/>
        <v>19.503</v>
      </c>
      <c r="K55" s="250">
        <f t="shared" si="15"/>
        <v>76.894000000000005</v>
      </c>
      <c r="L55" s="250">
        <f t="shared" si="15"/>
        <v>-243.4</v>
      </c>
      <c r="M55" s="250">
        <f t="shared" si="15"/>
        <v>71.463999999999999</v>
      </c>
      <c r="N55" s="251">
        <f t="shared" si="15"/>
        <v>-276.22000000000003</v>
      </c>
      <c r="O55" s="273">
        <f t="shared" si="2"/>
        <v>-313.06700000000001</v>
      </c>
      <c r="P55" s="2"/>
      <c r="Q55" s="9"/>
    </row>
    <row r="56" spans="2:17" hidden="1">
      <c r="B56" s="265" t="s">
        <v>280</v>
      </c>
      <c r="C56" s="252"/>
      <c r="D56" s="250"/>
      <c r="E56" s="250"/>
      <c r="F56" s="250"/>
      <c r="G56" s="250"/>
      <c r="H56" s="250"/>
      <c r="I56" s="250"/>
      <c r="J56" s="250"/>
      <c r="K56" s="250"/>
      <c r="L56" s="250"/>
      <c r="M56" s="250"/>
      <c r="N56" s="251"/>
      <c r="O56" s="273">
        <f t="shared" si="2"/>
        <v>0</v>
      </c>
      <c r="P56" s="2"/>
      <c r="Q56" s="9"/>
    </row>
    <row r="57" spans="2:17" hidden="1">
      <c r="B57" s="265" t="s">
        <v>281</v>
      </c>
      <c r="C57" s="252">
        <v>183.42</v>
      </c>
      <c r="D57" s="250">
        <v>17.582999999999998</v>
      </c>
      <c r="E57" s="250">
        <v>-77.69</v>
      </c>
      <c r="F57" s="250">
        <v>2.9849999999999999</v>
      </c>
      <c r="G57" s="250">
        <v>-370.84899999999999</v>
      </c>
      <c r="H57" s="250">
        <v>163.29</v>
      </c>
      <c r="I57" s="250">
        <v>119.953</v>
      </c>
      <c r="J57" s="250">
        <v>19.503</v>
      </c>
      <c r="K57" s="250">
        <v>76.894000000000005</v>
      </c>
      <c r="L57" s="250">
        <v>-243.4</v>
      </c>
      <c r="M57" s="250">
        <v>71.463999999999999</v>
      </c>
      <c r="N57" s="251">
        <v>-276.22000000000003</v>
      </c>
      <c r="O57" s="273">
        <f t="shared" si="2"/>
        <v>-313.06700000000001</v>
      </c>
      <c r="P57" s="2"/>
      <c r="Q57" s="9"/>
    </row>
    <row r="58" spans="2:17" hidden="1">
      <c r="B58" s="35" t="s">
        <v>282</v>
      </c>
      <c r="C58" s="252">
        <f>+C59+C60</f>
        <v>-49.017554700000005</v>
      </c>
      <c r="D58" s="250">
        <f>+D59+D60</f>
        <v>38.432320929999996</v>
      </c>
      <c r="E58" s="250">
        <f t="shared" ref="E58:N58" si="16">+E59+E60</f>
        <v>22.93869436000001</v>
      </c>
      <c r="F58" s="250">
        <f t="shared" si="16"/>
        <v>-62.394574519999999</v>
      </c>
      <c r="G58" s="250">
        <f t="shared" si="16"/>
        <v>359.05954299000001</v>
      </c>
      <c r="H58" s="250">
        <f t="shared" si="16"/>
        <v>-10.910542700000001</v>
      </c>
      <c r="I58" s="250">
        <f t="shared" si="16"/>
        <v>42.122746410000005</v>
      </c>
      <c r="J58" s="250">
        <f t="shared" si="16"/>
        <v>-13.61981632</v>
      </c>
      <c r="K58" s="250">
        <f t="shared" si="16"/>
        <v>-22.908458410000001</v>
      </c>
      <c r="L58" s="250">
        <f t="shared" si="16"/>
        <v>6.7252806300000074</v>
      </c>
      <c r="M58" s="250">
        <f t="shared" si="16"/>
        <v>-5.6345448400000109</v>
      </c>
      <c r="N58" s="251">
        <f t="shared" si="16"/>
        <v>-35.393000000000001</v>
      </c>
      <c r="O58" s="251">
        <f t="shared" si="2"/>
        <v>269.40009383000006</v>
      </c>
      <c r="P58" s="2"/>
      <c r="Q58" s="9"/>
    </row>
    <row r="59" spans="2:17" hidden="1">
      <c r="B59" s="265" t="s">
        <v>280</v>
      </c>
      <c r="C59" s="252">
        <v>-25.227554700000002</v>
      </c>
      <c r="D59" s="250">
        <v>25.422320929999998</v>
      </c>
      <c r="E59" s="250">
        <v>22.46469436000001</v>
      </c>
      <c r="F59" s="250">
        <v>59.167425479999999</v>
      </c>
      <c r="G59" s="250">
        <v>245.15684299000003</v>
      </c>
      <c r="H59" s="250">
        <v>4.2254572999999995</v>
      </c>
      <c r="I59" s="250">
        <v>18.133746410000001</v>
      </c>
      <c r="J59" s="250">
        <v>-5.5816319999999919E-2</v>
      </c>
      <c r="K59" s="250">
        <v>-36.278458409999999</v>
      </c>
      <c r="L59" s="250">
        <v>10.399280630000007</v>
      </c>
      <c r="M59" s="250">
        <v>-3.0555448400000103</v>
      </c>
      <c r="N59" s="251"/>
      <c r="O59" s="251">
        <f t="shared" si="2"/>
        <v>320.3523938300001</v>
      </c>
      <c r="P59" s="2"/>
      <c r="Q59" s="9"/>
    </row>
    <row r="60" spans="2:17" hidden="1">
      <c r="B60" s="265" t="s">
        <v>281</v>
      </c>
      <c r="C60" s="252">
        <v>-23.79</v>
      </c>
      <c r="D60" s="250">
        <v>13.01</v>
      </c>
      <c r="E60" s="250">
        <v>0.47399999999999998</v>
      </c>
      <c r="F60" s="250">
        <v>-121.562</v>
      </c>
      <c r="G60" s="250">
        <v>113.9027</v>
      </c>
      <c r="H60" s="250">
        <v>-15.135999999999999</v>
      </c>
      <c r="I60" s="250">
        <v>23.989000000000001</v>
      </c>
      <c r="J60" s="250">
        <v>-13.564</v>
      </c>
      <c r="K60" s="250">
        <v>13.37</v>
      </c>
      <c r="L60" s="250">
        <v>-3.6739999999999999</v>
      </c>
      <c r="M60" s="250">
        <v>-2.5790000000000002</v>
      </c>
      <c r="N60" s="251">
        <v>-35.393000000000001</v>
      </c>
      <c r="O60" s="251">
        <f t="shared" si="2"/>
        <v>-50.952299999999994</v>
      </c>
      <c r="P60" s="2"/>
      <c r="Q60" s="9"/>
    </row>
    <row r="61" spans="2:17" hidden="1">
      <c r="B61" s="35" t="s">
        <v>283</v>
      </c>
      <c r="C61" s="252">
        <v>0</v>
      </c>
      <c r="D61" s="250">
        <v>0</v>
      </c>
      <c r="E61" s="250">
        <v>0</v>
      </c>
      <c r="F61" s="250">
        <v>0</v>
      </c>
      <c r="G61" s="250">
        <v>0</v>
      </c>
      <c r="H61" s="250">
        <v>0</v>
      </c>
      <c r="I61" s="250">
        <v>0</v>
      </c>
      <c r="J61" s="250">
        <v>0</v>
      </c>
      <c r="K61" s="250">
        <v>0</v>
      </c>
      <c r="L61" s="250">
        <v>0</v>
      </c>
      <c r="M61" s="250">
        <v>0</v>
      </c>
      <c r="N61" s="251">
        <v>0</v>
      </c>
      <c r="O61" s="251">
        <f t="shared" si="2"/>
        <v>0</v>
      </c>
      <c r="P61" s="2"/>
      <c r="Q61" s="9"/>
    </row>
    <row r="62" spans="2:17" hidden="1">
      <c r="B62" s="265" t="s">
        <v>280</v>
      </c>
      <c r="C62" s="252"/>
      <c r="D62" s="250"/>
      <c r="E62" s="250"/>
      <c r="F62" s="250"/>
      <c r="G62" s="250"/>
      <c r="H62" s="250"/>
      <c r="I62" s="250"/>
      <c r="J62" s="250"/>
      <c r="K62" s="250"/>
      <c r="L62" s="250"/>
      <c r="M62" s="250"/>
      <c r="N62" s="251"/>
      <c r="O62" s="251">
        <f t="shared" si="2"/>
        <v>0</v>
      </c>
      <c r="P62" s="2"/>
      <c r="Q62" s="9"/>
    </row>
    <row r="63" spans="2:17" hidden="1">
      <c r="B63" s="265" t="s">
        <v>281</v>
      </c>
      <c r="C63" s="252"/>
      <c r="D63" s="250"/>
      <c r="E63" s="250"/>
      <c r="F63" s="250"/>
      <c r="G63" s="250"/>
      <c r="H63" s="250"/>
      <c r="I63" s="250"/>
      <c r="J63" s="250"/>
      <c r="K63" s="250"/>
      <c r="L63" s="250"/>
      <c r="M63" s="250"/>
      <c r="N63" s="251"/>
      <c r="O63" s="251">
        <f t="shared" si="2"/>
        <v>0</v>
      </c>
      <c r="P63" s="2"/>
      <c r="Q63" s="9"/>
    </row>
    <row r="64" spans="2:17" hidden="1">
      <c r="B64" s="35" t="s">
        <v>284</v>
      </c>
      <c r="C64" s="252">
        <v>-74.93832098</v>
      </c>
      <c r="D64" s="250">
        <v>-32.10177316</v>
      </c>
      <c r="E64" s="250">
        <v>-54.270978929999998</v>
      </c>
      <c r="F64" s="250">
        <v>-2.1527525700000001</v>
      </c>
      <c r="G64" s="250">
        <v>41.452749859999997</v>
      </c>
      <c r="H64" s="250">
        <v>-4.6238831000000005</v>
      </c>
      <c r="I64" s="250">
        <v>8.9395885700000015</v>
      </c>
      <c r="J64" s="250">
        <v>17.342146819999996</v>
      </c>
      <c r="K64" s="250">
        <v>25.280190510000001</v>
      </c>
      <c r="L64" s="250">
        <v>14.407764960000002</v>
      </c>
      <c r="M64" s="250">
        <v>-20.453110179999996</v>
      </c>
      <c r="N64" s="251">
        <v>121.95490569</v>
      </c>
      <c r="O64" s="251">
        <f t="shared" si="2"/>
        <v>40.83652748999998</v>
      </c>
      <c r="P64" s="2"/>
      <c r="Q64" s="9"/>
    </row>
    <row r="65" spans="2:17" hidden="1">
      <c r="B65" s="35" t="s">
        <v>285</v>
      </c>
      <c r="C65" s="252">
        <f>SUM(C66:C70)</f>
        <v>14.37079632000011</v>
      </c>
      <c r="D65" s="250">
        <f>SUM(D66:D70)</f>
        <v>-3.2632661200000612</v>
      </c>
      <c r="E65" s="250">
        <f t="shared" ref="E65:N65" si="17">SUM(E66:E70)</f>
        <v>-4.7866193800000474</v>
      </c>
      <c r="F65" s="250">
        <f t="shared" si="17"/>
        <v>-19.073819710000024</v>
      </c>
      <c r="G65" s="250">
        <f t="shared" si="17"/>
        <v>-0.28835866000007115</v>
      </c>
      <c r="H65" s="250">
        <f t="shared" si="17"/>
        <v>21.550565900000038</v>
      </c>
      <c r="I65" s="250">
        <f t="shared" si="17"/>
        <v>-23.601676769999983</v>
      </c>
      <c r="J65" s="250">
        <f t="shared" si="17"/>
        <v>24.693728569999983</v>
      </c>
      <c r="K65" s="250">
        <f t="shared" si="17"/>
        <v>-18.541878650000029</v>
      </c>
      <c r="L65" s="250">
        <f t="shared" si="17"/>
        <v>-7.5287483599999945</v>
      </c>
      <c r="M65" s="250">
        <f t="shared" si="17"/>
        <v>20.195347280000085</v>
      </c>
      <c r="N65" s="251">
        <f t="shared" si="17"/>
        <v>30.996689409999973</v>
      </c>
      <c r="O65" s="273">
        <f t="shared" si="2"/>
        <v>34.72275982999998</v>
      </c>
      <c r="P65" s="2"/>
      <c r="Q65" s="9"/>
    </row>
    <row r="66" spans="2:17" hidden="1">
      <c r="B66" s="265" t="s">
        <v>286</v>
      </c>
      <c r="C66" s="252"/>
      <c r="D66" s="250"/>
      <c r="E66" s="250"/>
      <c r="F66" s="250"/>
      <c r="G66" s="250"/>
      <c r="H66" s="250"/>
      <c r="I66" s="250"/>
      <c r="J66" s="250"/>
      <c r="K66" s="250"/>
      <c r="L66" s="250"/>
      <c r="M66" s="250"/>
      <c r="N66" s="251"/>
      <c r="O66" s="273">
        <f t="shared" si="2"/>
        <v>0</v>
      </c>
      <c r="P66" s="2"/>
      <c r="Q66" s="9"/>
    </row>
    <row r="67" spans="2:17" hidden="1">
      <c r="B67" s="265" t="s">
        <v>287</v>
      </c>
      <c r="C67" s="252"/>
      <c r="D67" s="250"/>
      <c r="E67" s="250"/>
      <c r="F67" s="250"/>
      <c r="G67" s="250"/>
      <c r="H67" s="250"/>
      <c r="I67" s="250"/>
      <c r="J67" s="250"/>
      <c r="K67" s="250"/>
      <c r="L67" s="250"/>
      <c r="M67" s="250"/>
      <c r="N67" s="251"/>
      <c r="O67" s="273">
        <f t="shared" si="2"/>
        <v>0</v>
      </c>
      <c r="P67" s="2"/>
      <c r="Q67" s="9"/>
    </row>
    <row r="68" spans="2:17" hidden="1">
      <c r="B68" s="265" t="s">
        <v>288</v>
      </c>
      <c r="C68" s="252"/>
      <c r="D68" s="250"/>
      <c r="E68" s="250"/>
      <c r="F68" s="250"/>
      <c r="G68" s="250"/>
      <c r="H68" s="250"/>
      <c r="I68" s="250"/>
      <c r="J68" s="250"/>
      <c r="K68" s="250"/>
      <c r="L68" s="250"/>
      <c r="M68" s="250"/>
      <c r="N68" s="251"/>
      <c r="O68" s="273">
        <f t="shared" si="2"/>
        <v>0</v>
      </c>
      <c r="P68" s="2"/>
      <c r="Q68" s="9"/>
    </row>
    <row r="69" spans="2:17" hidden="1">
      <c r="B69" s="265" t="s">
        <v>289</v>
      </c>
      <c r="C69" s="252">
        <v>0</v>
      </c>
      <c r="D69" s="250">
        <v>0</v>
      </c>
      <c r="E69" s="250">
        <v>0</v>
      </c>
      <c r="F69" s="250">
        <v>0</v>
      </c>
      <c r="G69" s="250">
        <v>0</v>
      </c>
      <c r="H69" s="250">
        <v>0</v>
      </c>
      <c r="I69" s="250">
        <v>0</v>
      </c>
      <c r="J69" s="250">
        <v>0</v>
      </c>
      <c r="K69" s="250">
        <v>0</v>
      </c>
      <c r="L69" s="250">
        <v>0</v>
      </c>
      <c r="M69" s="250">
        <v>0</v>
      </c>
      <c r="N69" s="251">
        <v>1.4354310000001647E-2</v>
      </c>
      <c r="O69" s="273">
        <f t="shared" si="2"/>
        <v>1.4354310000001647E-2</v>
      </c>
      <c r="P69" s="2"/>
      <c r="Q69" s="9"/>
    </row>
    <row r="70" spans="2:17" hidden="1">
      <c r="B70" s="265" t="s">
        <v>285</v>
      </c>
      <c r="C70" s="252">
        <v>14.37079632000011</v>
      </c>
      <c r="D70" s="250">
        <v>-3.2632661200000612</v>
      </c>
      <c r="E70" s="250">
        <v>-4.7866193800000474</v>
      </c>
      <c r="F70" s="250">
        <v>-19.073819710000024</v>
      </c>
      <c r="G70" s="250">
        <v>-0.28835866000007115</v>
      </c>
      <c r="H70" s="250">
        <v>21.550565900000038</v>
      </c>
      <c r="I70" s="250">
        <v>-23.601676769999983</v>
      </c>
      <c r="J70" s="250">
        <v>24.693728569999983</v>
      </c>
      <c r="K70" s="250">
        <v>-18.541878650000029</v>
      </c>
      <c r="L70" s="250">
        <v>-7.5287483599999945</v>
      </c>
      <c r="M70" s="250">
        <v>20.195347280000085</v>
      </c>
      <c r="N70" s="251">
        <v>30.982335099999972</v>
      </c>
      <c r="O70" s="273">
        <f t="shared" si="2"/>
        <v>34.708405519999978</v>
      </c>
      <c r="P70" s="2"/>
      <c r="Q70" s="9"/>
    </row>
    <row r="71" spans="2:17" ht="24.75" hidden="1" customHeight="1">
      <c r="B71" s="25" t="s">
        <v>290</v>
      </c>
      <c r="C71" s="244">
        <f>-C48-C51-C54</f>
        <v>6.3599669999987896E-2</v>
      </c>
      <c r="D71" s="245">
        <f>-D48-D51-D54</f>
        <v>17.534602610000015</v>
      </c>
      <c r="E71" s="245">
        <f t="shared" ref="E71:N71" si="18">-E48-E51-E54</f>
        <v>3.0724997599999995</v>
      </c>
      <c r="F71" s="245">
        <f t="shared" si="18"/>
        <v>0.11709999999997933</v>
      </c>
      <c r="G71" s="245">
        <f t="shared" si="18"/>
        <v>3.3893224500000159</v>
      </c>
      <c r="H71" s="245">
        <f t="shared" si="18"/>
        <v>0</v>
      </c>
      <c r="I71" s="245">
        <f t="shared" si="18"/>
        <v>0</v>
      </c>
      <c r="J71" s="245">
        <f t="shared" si="18"/>
        <v>0</v>
      </c>
      <c r="K71" s="245">
        <f t="shared" si="18"/>
        <v>0</v>
      </c>
      <c r="L71" s="245">
        <f t="shared" si="18"/>
        <v>0</v>
      </c>
      <c r="M71" s="245">
        <f t="shared" si="18"/>
        <v>0</v>
      </c>
      <c r="N71" s="247">
        <f t="shared" si="18"/>
        <v>0</v>
      </c>
      <c r="O71" s="271">
        <f t="shared" si="2"/>
        <v>24.177124489999997</v>
      </c>
      <c r="P71" s="2"/>
      <c r="Q71" s="9"/>
    </row>
    <row r="72" spans="2:17" hidden="1">
      <c r="B72" s="42"/>
      <c r="C72" s="252"/>
      <c r="D72" s="250"/>
      <c r="E72" s="250"/>
      <c r="F72" s="250"/>
      <c r="G72" s="250"/>
      <c r="H72" s="250"/>
      <c r="I72" s="250"/>
      <c r="J72" s="250"/>
      <c r="K72" s="250"/>
      <c r="L72" s="250"/>
      <c r="M72" s="250"/>
      <c r="N72" s="251"/>
      <c r="O72" s="273"/>
      <c r="P72" s="2"/>
      <c r="Q72" s="9"/>
    </row>
    <row r="73" spans="2:17" ht="24.75" hidden="1" customHeight="1">
      <c r="B73" s="25" t="s">
        <v>291</v>
      </c>
      <c r="C73" s="244">
        <v>27.506205000000001</v>
      </c>
      <c r="D73" s="245">
        <v>27.608975000000001</v>
      </c>
      <c r="E73" s="245">
        <v>27.050315000000001</v>
      </c>
      <c r="F73" s="245">
        <v>26.382854999999999</v>
      </c>
      <c r="G73" s="245">
        <v>27.640345</v>
      </c>
      <c r="H73" s="245">
        <v>27.45992515</v>
      </c>
      <c r="I73" s="245">
        <v>27.101748190000002</v>
      </c>
      <c r="J73" s="245">
        <v>27.430703780000002</v>
      </c>
      <c r="K73" s="245">
        <v>26.81399498</v>
      </c>
      <c r="L73" s="245">
        <v>27.77233837</v>
      </c>
      <c r="M73" s="245">
        <v>27.753563589999999</v>
      </c>
      <c r="N73" s="247">
        <v>45.415885689999996</v>
      </c>
      <c r="O73" s="271">
        <f>SUM(C73:N73)</f>
        <v>345.93685474999995</v>
      </c>
      <c r="P73" s="2"/>
      <c r="Q73" s="9"/>
    </row>
    <row r="74" spans="2:17" ht="24.75" hidden="1" customHeight="1">
      <c r="B74" s="25" t="s">
        <v>292</v>
      </c>
      <c r="C74" s="277"/>
      <c r="D74" s="278"/>
      <c r="E74" s="278"/>
      <c r="F74" s="278"/>
      <c r="G74" s="278"/>
      <c r="H74" s="278"/>
      <c r="I74" s="278"/>
      <c r="J74" s="278"/>
      <c r="K74" s="278"/>
      <c r="L74" s="278"/>
      <c r="M74" s="278"/>
      <c r="N74" s="273"/>
      <c r="O74" s="273">
        <f>SUM(C74:N74)</f>
        <v>0</v>
      </c>
      <c r="P74" s="2"/>
      <c r="Q74" s="9"/>
    </row>
    <row r="75" spans="2:17" ht="26.25" hidden="1" customHeight="1">
      <c r="B75" s="38" t="s">
        <v>56</v>
      </c>
      <c r="C75" s="279"/>
      <c r="D75" s="280"/>
      <c r="E75" s="280"/>
      <c r="F75" s="280"/>
      <c r="G75" s="280"/>
      <c r="H75" s="280"/>
      <c r="I75" s="280"/>
      <c r="J75" s="280"/>
      <c r="K75" s="280"/>
      <c r="L75" s="280"/>
      <c r="M75" s="280"/>
      <c r="N75" s="281"/>
      <c r="O75" s="267">
        <v>17601.62</v>
      </c>
      <c r="P75" s="2"/>
      <c r="Q75" s="9"/>
    </row>
    <row r="76" spans="2:17" ht="6" customHeight="1">
      <c r="B76" s="2"/>
      <c r="C76" s="2"/>
      <c r="D76" s="2"/>
      <c r="E76" s="2"/>
      <c r="F76" s="2"/>
      <c r="G76" s="2"/>
      <c r="H76" s="2"/>
      <c r="I76" s="2"/>
      <c r="J76" s="2"/>
      <c r="K76" s="2"/>
      <c r="L76" s="2"/>
      <c r="M76" s="2"/>
      <c r="N76" s="2"/>
      <c r="O76" s="2"/>
      <c r="P76" s="2"/>
      <c r="Q76" s="9"/>
    </row>
    <row r="77" spans="2:17">
      <c r="B77" s="2" t="s">
        <v>293</v>
      </c>
      <c r="C77" s="2"/>
      <c r="D77" s="2"/>
      <c r="E77" s="2"/>
      <c r="F77" s="2"/>
      <c r="G77" s="2"/>
      <c r="H77" s="2"/>
      <c r="I77" s="2"/>
      <c r="J77" s="2"/>
      <c r="K77" s="2"/>
      <c r="L77" s="2"/>
      <c r="M77" s="2"/>
      <c r="N77" s="2"/>
      <c r="O77" s="2"/>
      <c r="P77" s="2"/>
      <c r="Q77" s="9"/>
    </row>
    <row r="78" spans="2:17">
      <c r="B78" s="2"/>
      <c r="C78" s="2"/>
      <c r="D78" s="2"/>
      <c r="E78" s="2"/>
      <c r="F78" s="2"/>
      <c r="G78" s="2"/>
      <c r="H78" s="2"/>
      <c r="I78" s="2"/>
      <c r="J78" s="2"/>
      <c r="K78" s="2"/>
      <c r="L78" s="2"/>
      <c r="M78" s="2"/>
      <c r="N78" s="2"/>
      <c r="O78" s="2"/>
      <c r="P78" s="2"/>
      <c r="Q78" s="9"/>
    </row>
  </sheetData>
  <printOptions horizontalCentered="1"/>
  <pageMargins left="0.7" right="0.7" top="0.75" bottom="0.75" header="0.3" footer="0.3"/>
  <pageSetup scale="71" orientation="landscape" r:id="rId1"/>
  <ignoredErrors>
    <ignoredError sqref="C9:N9"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Q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s>
  <sheetData>
    <row r="2" spans="2:16">
      <c r="B2" s="234" t="s">
        <v>18</v>
      </c>
      <c r="C2" s="2"/>
      <c r="D2" s="2"/>
      <c r="E2" s="2"/>
      <c r="F2" s="2"/>
      <c r="G2" s="2"/>
      <c r="H2" s="2"/>
      <c r="I2" s="2"/>
      <c r="J2" s="2"/>
      <c r="K2" s="2"/>
      <c r="L2" s="2"/>
      <c r="M2" s="2"/>
      <c r="N2" s="2"/>
      <c r="O2" s="2"/>
      <c r="P2" s="2"/>
    </row>
    <row r="3" spans="2:16">
      <c r="B3" s="234" t="s">
        <v>297</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298</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272.34481008</v>
      </c>
      <c r="D8" s="246">
        <f>+D9+D13+D14</f>
        <v>242.09743229000006</v>
      </c>
      <c r="E8" s="246">
        <f t="shared" ref="E8:N8" si="0">+E9+E13+E14</f>
        <v>252.81884192000001</v>
      </c>
      <c r="F8" s="246">
        <f t="shared" si="0"/>
        <v>454.31963670000005</v>
      </c>
      <c r="G8" s="246">
        <f t="shared" si="0"/>
        <v>245.1366246</v>
      </c>
      <c r="H8" s="246">
        <f t="shared" si="0"/>
        <v>257.54965150999999</v>
      </c>
      <c r="I8" s="246">
        <f t="shared" si="0"/>
        <v>261.29207630000002</v>
      </c>
      <c r="J8" s="246">
        <f t="shared" si="0"/>
        <v>243.85707992000002</v>
      </c>
      <c r="K8" s="246">
        <f t="shared" si="0"/>
        <v>245.04774515999998</v>
      </c>
      <c r="L8" s="246">
        <f t="shared" si="0"/>
        <v>261.42598676</v>
      </c>
      <c r="M8" s="246">
        <f t="shared" si="0"/>
        <v>262.79349001000003</v>
      </c>
      <c r="N8" s="271">
        <f t="shared" si="0"/>
        <v>269.27061628000001</v>
      </c>
      <c r="O8" s="271">
        <f>SUM(C8:N8)</f>
        <v>3267.9539915299997</v>
      </c>
      <c r="P8" s="2"/>
    </row>
    <row r="9" spans="2:16" ht="18" customHeight="1">
      <c r="B9" s="272" t="s">
        <v>240</v>
      </c>
      <c r="C9" s="270">
        <f>SUM(C10:C12)</f>
        <v>272.03491248</v>
      </c>
      <c r="D9" s="246">
        <f>SUM(D10:D12)</f>
        <v>235.57451614000007</v>
      </c>
      <c r="E9" s="246">
        <f t="shared" ref="E9:N9" si="1">SUM(E10:E12)</f>
        <v>252.26561692000001</v>
      </c>
      <c r="F9" s="246">
        <f t="shared" si="1"/>
        <v>454.28258709000005</v>
      </c>
      <c r="G9" s="246">
        <f t="shared" si="1"/>
        <v>244.41093047999999</v>
      </c>
      <c r="H9" s="246">
        <f t="shared" si="1"/>
        <v>257.40696284000001</v>
      </c>
      <c r="I9" s="246">
        <f t="shared" si="1"/>
        <v>260.29098987000003</v>
      </c>
      <c r="J9" s="246">
        <f t="shared" si="1"/>
        <v>242.48542066000002</v>
      </c>
      <c r="K9" s="246">
        <f t="shared" si="1"/>
        <v>244.58175162999999</v>
      </c>
      <c r="L9" s="246">
        <f t="shared" si="1"/>
        <v>260.90351435000002</v>
      </c>
      <c r="M9" s="246">
        <f t="shared" si="1"/>
        <v>259.93975349000004</v>
      </c>
      <c r="N9" s="271">
        <f t="shared" si="1"/>
        <v>266.98061627999999</v>
      </c>
      <c r="O9" s="271">
        <f>SUM(C9:N9)</f>
        <v>3251.1575722299999</v>
      </c>
      <c r="P9" s="2"/>
    </row>
    <row r="10" spans="2:16">
      <c r="B10" s="265" t="s">
        <v>241</v>
      </c>
      <c r="C10" s="252">
        <v>253.99772232000001</v>
      </c>
      <c r="D10" s="250">
        <v>221.85923220000006</v>
      </c>
      <c r="E10" s="250">
        <v>233.71937624</v>
      </c>
      <c r="F10" s="250">
        <v>442.48438709000004</v>
      </c>
      <c r="G10" s="250">
        <v>229.06258915999999</v>
      </c>
      <c r="H10" s="250">
        <v>244.30501835000001</v>
      </c>
      <c r="I10" s="250">
        <v>241.53099002000002</v>
      </c>
      <c r="J10" s="250">
        <v>228.62511235000002</v>
      </c>
      <c r="K10" s="250">
        <v>226.61118708999999</v>
      </c>
      <c r="L10" s="250">
        <v>243.70491839000002</v>
      </c>
      <c r="M10" s="250">
        <v>250.35698684000002</v>
      </c>
      <c r="N10" s="251">
        <v>255.51062325999999</v>
      </c>
      <c r="O10" s="273">
        <f>SUM(C10:N10)</f>
        <v>3071.7681433099997</v>
      </c>
      <c r="P10" s="2"/>
    </row>
    <row r="11" spans="2:16">
      <c r="B11" s="265" t="s">
        <v>242</v>
      </c>
      <c r="C11" s="252">
        <v>18.037190159999998</v>
      </c>
      <c r="D11" s="250">
        <v>13.715283939999999</v>
      </c>
      <c r="E11" s="250">
        <v>18.54624068</v>
      </c>
      <c r="F11" s="250">
        <v>11.798200000000001</v>
      </c>
      <c r="G11" s="250">
        <v>10.642858320000006</v>
      </c>
      <c r="H11" s="250">
        <v>13.101944490000001</v>
      </c>
      <c r="I11" s="250">
        <v>13.75999985</v>
      </c>
      <c r="J11" s="250">
        <v>8.8603083100000006</v>
      </c>
      <c r="K11" s="250">
        <v>12.970564539999998</v>
      </c>
      <c r="L11" s="250">
        <v>12.198595959999999</v>
      </c>
      <c r="M11" s="250">
        <v>9.5827666499999999</v>
      </c>
      <c r="N11" s="251">
        <v>11.469993020000004</v>
      </c>
      <c r="O11" s="273">
        <f t="shared" ref="O11:O71" si="2">SUM(C11:N11)</f>
        <v>154.68394592000001</v>
      </c>
      <c r="P11" s="2"/>
    </row>
    <row r="12" spans="2:16">
      <c r="B12" s="265" t="s">
        <v>243</v>
      </c>
      <c r="C12" s="252">
        <v>0</v>
      </c>
      <c r="D12" s="250">
        <v>0</v>
      </c>
      <c r="E12" s="250">
        <v>0</v>
      </c>
      <c r="F12" s="250">
        <v>0</v>
      </c>
      <c r="G12" s="250">
        <v>4.7054830000000001</v>
      </c>
      <c r="H12" s="250">
        <v>0</v>
      </c>
      <c r="I12" s="250">
        <v>5</v>
      </c>
      <c r="J12" s="250">
        <v>5</v>
      </c>
      <c r="K12" s="250">
        <v>5</v>
      </c>
      <c r="L12" s="250">
        <v>5</v>
      </c>
      <c r="M12" s="250">
        <v>0</v>
      </c>
      <c r="N12" s="251">
        <v>0</v>
      </c>
      <c r="O12" s="273">
        <f t="shared" si="2"/>
        <v>24.705483000000001</v>
      </c>
      <c r="P12" s="2"/>
    </row>
    <row r="13" spans="2:16" ht="18" customHeight="1">
      <c r="B13" s="272" t="s">
        <v>244</v>
      </c>
      <c r="C13" s="244">
        <v>0</v>
      </c>
      <c r="D13" s="245">
        <v>0.10953491999999999</v>
      </c>
      <c r="E13" s="245">
        <v>0</v>
      </c>
      <c r="F13" s="245">
        <v>0</v>
      </c>
      <c r="G13" s="245">
        <v>0</v>
      </c>
      <c r="H13" s="245">
        <v>7.5000000000000002E-4</v>
      </c>
      <c r="I13" s="245">
        <v>0</v>
      </c>
      <c r="J13" s="245">
        <v>0</v>
      </c>
      <c r="K13" s="245">
        <v>0</v>
      </c>
      <c r="L13" s="245">
        <v>0</v>
      </c>
      <c r="M13" s="245">
        <v>0.12091536999999999</v>
      </c>
      <c r="N13" s="247">
        <v>0</v>
      </c>
      <c r="O13" s="271">
        <f t="shared" si="2"/>
        <v>0.23120028999999997</v>
      </c>
      <c r="P13" s="2"/>
    </row>
    <row r="14" spans="2:16" ht="18" customHeight="1">
      <c r="B14" s="272" t="s">
        <v>245</v>
      </c>
      <c r="C14" s="244">
        <v>0.3098976</v>
      </c>
      <c r="D14" s="245">
        <v>6.4133812300000006</v>
      </c>
      <c r="E14" s="245">
        <v>0.55322500000000008</v>
      </c>
      <c r="F14" s="245">
        <v>3.7049609999999997E-2</v>
      </c>
      <c r="G14" s="245">
        <v>0.72569412</v>
      </c>
      <c r="H14" s="245">
        <v>0.14193866999999999</v>
      </c>
      <c r="I14" s="245">
        <v>1.00108643</v>
      </c>
      <c r="J14" s="245">
        <v>1.3716592599999999</v>
      </c>
      <c r="K14" s="245">
        <v>0.46599353000000004</v>
      </c>
      <c r="L14" s="245">
        <v>0.52247241</v>
      </c>
      <c r="M14" s="245">
        <v>2.7328211499999999</v>
      </c>
      <c r="N14" s="247">
        <v>2.29</v>
      </c>
      <c r="O14" s="271">
        <f t="shared" si="2"/>
        <v>16.565219010000003</v>
      </c>
      <c r="P14" s="2"/>
    </row>
    <row r="15" spans="2:16" ht="24.95" customHeight="1">
      <c r="B15" s="25" t="s">
        <v>246</v>
      </c>
      <c r="C15" s="244">
        <f>+C16+C29+C40</f>
        <v>300.68501633</v>
      </c>
      <c r="D15" s="245">
        <f>+D16+D29+D40</f>
        <v>295.59378436999998</v>
      </c>
      <c r="E15" s="245">
        <f t="shared" ref="E15:N15" si="3">+E16+E29+E40</f>
        <v>305.61714018000004</v>
      </c>
      <c r="F15" s="245">
        <f t="shared" si="3"/>
        <v>305.33118057000001</v>
      </c>
      <c r="G15" s="245">
        <f t="shared" si="3"/>
        <v>299.75539865000002</v>
      </c>
      <c r="H15" s="245">
        <f t="shared" si="3"/>
        <v>351.71015233999998</v>
      </c>
      <c r="I15" s="245">
        <f t="shared" si="3"/>
        <v>352.25526600499995</v>
      </c>
      <c r="J15" s="245">
        <f t="shared" si="3"/>
        <v>276.03300987099999</v>
      </c>
      <c r="K15" s="245">
        <f t="shared" si="3"/>
        <v>299.18267808999997</v>
      </c>
      <c r="L15" s="245">
        <f t="shared" si="3"/>
        <v>306.112235</v>
      </c>
      <c r="M15" s="245">
        <f t="shared" si="3"/>
        <v>295.28690840999997</v>
      </c>
      <c r="N15" s="247">
        <f t="shared" si="3"/>
        <v>475.36209447400006</v>
      </c>
      <c r="O15" s="271">
        <f t="shared" si="2"/>
        <v>3862.9248642899997</v>
      </c>
      <c r="P15" s="2"/>
    </row>
    <row r="16" spans="2:16" ht="18" customHeight="1">
      <c r="B16" s="272" t="s">
        <v>247</v>
      </c>
      <c r="C16" s="244">
        <f>SUM(C17:C20)</f>
        <v>267.37036422</v>
      </c>
      <c r="D16" s="245">
        <f>SUM(D17:D20)</f>
        <v>241.82725350999999</v>
      </c>
      <c r="E16" s="245">
        <f t="shared" ref="E16:N16" si="4">SUM(E17:E20)</f>
        <v>241.87050325000001</v>
      </c>
      <c r="F16" s="245">
        <f t="shared" si="4"/>
        <v>256.99884258999998</v>
      </c>
      <c r="G16" s="245">
        <f t="shared" si="4"/>
        <v>257.11774321000001</v>
      </c>
      <c r="H16" s="245">
        <f t="shared" si="4"/>
        <v>305.99178248999999</v>
      </c>
      <c r="I16" s="245">
        <f t="shared" si="4"/>
        <v>300.85714724499996</v>
      </c>
      <c r="J16" s="245">
        <f t="shared" si="4"/>
        <v>231.116253411</v>
      </c>
      <c r="K16" s="245">
        <f t="shared" si="4"/>
        <v>249.85029488999999</v>
      </c>
      <c r="L16" s="245">
        <f t="shared" si="4"/>
        <v>262.70860542999998</v>
      </c>
      <c r="M16" s="245">
        <f t="shared" si="4"/>
        <v>255.87467470999999</v>
      </c>
      <c r="N16" s="247">
        <f t="shared" si="4"/>
        <v>389.18124724400002</v>
      </c>
      <c r="O16" s="271">
        <f t="shared" si="2"/>
        <v>3260.7647121999994</v>
      </c>
      <c r="P16" s="2"/>
    </row>
    <row r="17" spans="2:17">
      <c r="B17" s="265" t="s">
        <v>136</v>
      </c>
      <c r="C17" s="252">
        <v>83.273258920000004</v>
      </c>
      <c r="D17" s="250">
        <v>84.904382310000003</v>
      </c>
      <c r="E17" s="250">
        <v>85.789277490000003</v>
      </c>
      <c r="F17" s="250">
        <v>85.153467520000007</v>
      </c>
      <c r="G17" s="250">
        <v>85.831997490000006</v>
      </c>
      <c r="H17" s="250">
        <v>95.518160339999994</v>
      </c>
      <c r="I17" s="250">
        <v>91.874738089999994</v>
      </c>
      <c r="J17" s="250">
        <v>87.931141030000006</v>
      </c>
      <c r="K17" s="250">
        <v>87.023242249999996</v>
      </c>
      <c r="L17" s="250">
        <v>87.401954649999993</v>
      </c>
      <c r="M17" s="250">
        <v>87.921067929999992</v>
      </c>
      <c r="N17" s="251">
        <v>139.75413176000001</v>
      </c>
      <c r="O17" s="273">
        <f t="shared" si="2"/>
        <v>1102.37681978</v>
      </c>
      <c r="P17" s="2"/>
    </row>
    <row r="18" spans="2:17">
      <c r="B18" s="265" t="s">
        <v>248</v>
      </c>
      <c r="C18" s="252">
        <v>35.153250029999995</v>
      </c>
      <c r="D18" s="250">
        <v>48.930308010000005</v>
      </c>
      <c r="E18" s="250">
        <v>37.055131760000002</v>
      </c>
      <c r="F18" s="250">
        <v>44.577260340000002</v>
      </c>
      <c r="G18" s="250">
        <v>43.692772509999998</v>
      </c>
      <c r="H18" s="250">
        <v>47.353401219999995</v>
      </c>
      <c r="I18" s="250">
        <v>42.964959379999996</v>
      </c>
      <c r="J18" s="250">
        <v>37.52482912</v>
      </c>
      <c r="K18" s="250">
        <v>46.773477200000002</v>
      </c>
      <c r="L18" s="250">
        <v>49.158947789999999</v>
      </c>
      <c r="M18" s="250">
        <v>42.727114300000004</v>
      </c>
      <c r="N18" s="251">
        <v>75.972559853999996</v>
      </c>
      <c r="O18" s="273">
        <f t="shared" si="2"/>
        <v>551.88401151399989</v>
      </c>
      <c r="P18" s="2"/>
    </row>
    <row r="19" spans="2:17">
      <c r="B19" s="265" t="s">
        <v>249</v>
      </c>
      <c r="C19" s="252">
        <v>74.609767720000008</v>
      </c>
      <c r="D19" s="250">
        <v>19.558794760000001</v>
      </c>
      <c r="E19" s="250">
        <v>24.618578679999999</v>
      </c>
      <c r="F19" s="250">
        <v>33.253645280000001</v>
      </c>
      <c r="G19" s="250">
        <v>25.307585270000001</v>
      </c>
      <c r="H19" s="250">
        <v>64.397194900000002</v>
      </c>
      <c r="I19" s="250">
        <v>74.767007250000006</v>
      </c>
      <c r="J19" s="250">
        <v>11.585326090000001</v>
      </c>
      <c r="K19" s="250">
        <v>21.857079769999999</v>
      </c>
      <c r="L19" s="250">
        <v>35.352124549999999</v>
      </c>
      <c r="M19" s="250">
        <v>40.384080560000001</v>
      </c>
      <c r="N19" s="251">
        <v>66.478718720000003</v>
      </c>
      <c r="O19" s="273">
        <f t="shared" si="2"/>
        <v>492.16990355000002</v>
      </c>
      <c r="P19" s="2"/>
    </row>
    <row r="20" spans="2:17">
      <c r="B20" s="265" t="s">
        <v>250</v>
      </c>
      <c r="C20" s="252">
        <f>SUM(C21:C28)</f>
        <v>74.334087549999992</v>
      </c>
      <c r="D20" s="250">
        <f>SUM(D21:D28)</f>
        <v>88.433768430000001</v>
      </c>
      <c r="E20" s="250">
        <f t="shared" ref="E20:N20" si="5">SUM(E21:E28)</f>
        <v>94.407515320000002</v>
      </c>
      <c r="F20" s="250">
        <f t="shared" si="5"/>
        <v>94.014469449999993</v>
      </c>
      <c r="G20" s="250">
        <f t="shared" si="5"/>
        <v>102.28538794000002</v>
      </c>
      <c r="H20" s="250">
        <f t="shared" si="5"/>
        <v>98.723026030000014</v>
      </c>
      <c r="I20" s="250">
        <f t="shared" si="5"/>
        <v>91.250442524999997</v>
      </c>
      <c r="J20" s="250">
        <f t="shared" si="5"/>
        <v>94.07495717099998</v>
      </c>
      <c r="K20" s="250">
        <f t="shared" si="5"/>
        <v>94.196495670000004</v>
      </c>
      <c r="L20" s="250">
        <f t="shared" si="5"/>
        <v>90.79557844</v>
      </c>
      <c r="M20" s="250">
        <f t="shared" si="5"/>
        <v>84.842411919999989</v>
      </c>
      <c r="N20" s="251">
        <f t="shared" si="5"/>
        <v>106.97583691</v>
      </c>
      <c r="O20" s="273">
        <f t="shared" si="2"/>
        <v>1114.3339773560001</v>
      </c>
      <c r="P20" s="2"/>
      <c r="Q20" s="9"/>
    </row>
    <row r="21" spans="2:17">
      <c r="B21" s="274" t="s">
        <v>251</v>
      </c>
      <c r="C21" s="252">
        <v>33.902124999999991</v>
      </c>
      <c r="D21" s="250">
        <v>37.628406249999991</v>
      </c>
      <c r="E21" s="250">
        <v>37.889294959999994</v>
      </c>
      <c r="F21" s="250">
        <v>36.398556890000002</v>
      </c>
      <c r="G21" s="250">
        <v>40.391307800000007</v>
      </c>
      <c r="H21" s="250">
        <v>43.346347800000004</v>
      </c>
      <c r="I21" s="250">
        <v>34.940680314999994</v>
      </c>
      <c r="J21" s="250">
        <v>39.223924019999991</v>
      </c>
      <c r="K21" s="250">
        <v>39.624297239999997</v>
      </c>
      <c r="L21" s="250">
        <v>37.907360260000004</v>
      </c>
      <c r="M21" s="250">
        <v>36.734898049999998</v>
      </c>
      <c r="N21" s="251">
        <v>51.439833349999994</v>
      </c>
      <c r="O21" s="273">
        <f t="shared" si="2"/>
        <v>469.427031935</v>
      </c>
      <c r="P21" s="2"/>
      <c r="Q21" s="9"/>
    </row>
    <row r="22" spans="2:17">
      <c r="B22" s="274" t="s">
        <v>252</v>
      </c>
      <c r="C22" s="252">
        <v>3.3454999999999999E-2</v>
      </c>
      <c r="D22" s="250">
        <v>0.30831500000000001</v>
      </c>
      <c r="E22" s="250">
        <v>6.6930000000000003E-2</v>
      </c>
      <c r="F22" s="250">
        <v>3.3465000000000002E-2</v>
      </c>
      <c r="G22" s="250">
        <v>3.3465000000000002E-2</v>
      </c>
      <c r="H22" s="250">
        <v>3.3465000000000002E-2</v>
      </c>
      <c r="I22" s="250">
        <v>3.3465000000000002E-2</v>
      </c>
      <c r="J22" s="250">
        <v>3.3465000000000002E-2</v>
      </c>
      <c r="K22" s="250">
        <v>3.3465000000000002E-2</v>
      </c>
      <c r="L22" s="250">
        <v>3.3465000000000002E-2</v>
      </c>
      <c r="M22" s="250">
        <v>3.3465000000000002E-2</v>
      </c>
      <c r="N22" s="251">
        <v>3.3564999999999998E-2</v>
      </c>
      <c r="O22" s="273">
        <f t="shared" si="2"/>
        <v>0.70998499999999987</v>
      </c>
      <c r="P22" s="2"/>
      <c r="Q22" s="9"/>
    </row>
    <row r="23" spans="2:17">
      <c r="B23" s="274" t="s">
        <v>253</v>
      </c>
      <c r="C23" s="252">
        <v>0.24644174999999999</v>
      </c>
      <c r="D23" s="250">
        <v>0.29557269000000003</v>
      </c>
      <c r="E23" s="250">
        <v>0.29960097000000002</v>
      </c>
      <c r="F23" s="250">
        <v>0.30692291999999999</v>
      </c>
      <c r="G23" s="250">
        <v>0.24678923</v>
      </c>
      <c r="H23" s="250">
        <v>0.47925607999999997</v>
      </c>
      <c r="I23" s="250">
        <v>0.25013288</v>
      </c>
      <c r="J23" s="250">
        <v>0.23389425999999999</v>
      </c>
      <c r="K23" s="250">
        <v>0.30702201000000001</v>
      </c>
      <c r="L23" s="250">
        <v>0.29015701999999999</v>
      </c>
      <c r="M23" s="250">
        <v>0.33629571000000003</v>
      </c>
      <c r="N23" s="251">
        <v>0.70638568000000002</v>
      </c>
      <c r="O23" s="273">
        <f t="shared" si="2"/>
        <v>3.9984711999999996</v>
      </c>
      <c r="P23" s="2"/>
      <c r="Q23" s="9"/>
    </row>
    <row r="24" spans="2:17">
      <c r="B24" s="274" t="s">
        <v>254</v>
      </c>
      <c r="C24" s="252">
        <v>39.382085800000006</v>
      </c>
      <c r="D24" s="250">
        <v>47.345749950000005</v>
      </c>
      <c r="E24" s="250">
        <v>54.612375140000005</v>
      </c>
      <c r="F24" s="250">
        <v>55.634690069999998</v>
      </c>
      <c r="G24" s="250">
        <v>60.336225160000005</v>
      </c>
      <c r="H24" s="250">
        <v>54.064269790000004</v>
      </c>
      <c r="I24" s="250">
        <v>54.898962330000003</v>
      </c>
      <c r="J24" s="250">
        <v>54.140775071</v>
      </c>
      <c r="K24" s="250">
        <v>53.524209890000009</v>
      </c>
      <c r="L24" s="250">
        <v>51.557362589999997</v>
      </c>
      <c r="M24" s="250">
        <v>47.423589710000002</v>
      </c>
      <c r="N24" s="251">
        <v>53.832691189999998</v>
      </c>
      <c r="O24" s="273">
        <f t="shared" si="2"/>
        <v>626.75298669100005</v>
      </c>
      <c r="P24" s="2"/>
      <c r="Q24" s="9"/>
    </row>
    <row r="25" spans="2:17">
      <c r="B25" s="274" t="s">
        <v>255</v>
      </c>
      <c r="C25" s="252">
        <v>0.42499999999999999</v>
      </c>
      <c r="D25" s="250">
        <v>1.85989954</v>
      </c>
      <c r="E25" s="250">
        <v>0.85246924999999996</v>
      </c>
      <c r="F25" s="250">
        <v>1.2492395700000001</v>
      </c>
      <c r="G25" s="250">
        <v>0.93957075000000001</v>
      </c>
      <c r="H25" s="250">
        <v>0.41854735999999998</v>
      </c>
      <c r="I25" s="250">
        <v>0.77258199999999999</v>
      </c>
      <c r="J25" s="250">
        <v>0.15825381999999999</v>
      </c>
      <c r="K25" s="250">
        <v>0.29644652999999999</v>
      </c>
      <c r="L25" s="250">
        <v>0.65142856999999998</v>
      </c>
      <c r="M25" s="250">
        <v>1.209845E-2</v>
      </c>
      <c r="N25" s="251">
        <v>0.60365044999999995</v>
      </c>
      <c r="O25" s="273">
        <f t="shared" si="2"/>
        <v>8.2391862899999992</v>
      </c>
      <c r="P25" s="2"/>
      <c r="Q25" s="9"/>
    </row>
    <row r="26" spans="2:17">
      <c r="B26" s="274" t="s">
        <v>256</v>
      </c>
      <c r="C26" s="252">
        <v>0.34498000000000001</v>
      </c>
      <c r="D26" s="250">
        <v>0.99582499999999996</v>
      </c>
      <c r="E26" s="250">
        <v>0.68684500000000004</v>
      </c>
      <c r="F26" s="250">
        <v>0.39159500000000003</v>
      </c>
      <c r="G26" s="250">
        <v>0.33803</v>
      </c>
      <c r="H26" s="250">
        <v>0.38113999999999998</v>
      </c>
      <c r="I26" s="250">
        <v>0.35461999999999999</v>
      </c>
      <c r="J26" s="250">
        <v>0.28464499999999998</v>
      </c>
      <c r="K26" s="250">
        <v>0.411055</v>
      </c>
      <c r="L26" s="250">
        <v>0.35580499999999998</v>
      </c>
      <c r="M26" s="250">
        <v>0.30206499999999997</v>
      </c>
      <c r="N26" s="251">
        <v>0.35971123999999999</v>
      </c>
      <c r="O26" s="273">
        <f t="shared" si="2"/>
        <v>5.2063162399999996</v>
      </c>
      <c r="P26" s="2"/>
      <c r="Q26" s="9"/>
    </row>
    <row r="27" spans="2:17">
      <c r="B27" s="274" t="s">
        <v>257</v>
      </c>
      <c r="C27" s="252">
        <v>0</v>
      </c>
      <c r="D27" s="250">
        <v>0</v>
      </c>
      <c r="E27" s="250">
        <v>0</v>
      </c>
      <c r="F27" s="250">
        <v>0</v>
      </c>
      <c r="G27" s="250">
        <v>0</v>
      </c>
      <c r="H27" s="250">
        <v>0</v>
      </c>
      <c r="I27" s="250">
        <v>0</v>
      </c>
      <c r="J27" s="250">
        <v>0</v>
      </c>
      <c r="K27" s="250">
        <v>0</v>
      </c>
      <c r="L27" s="250">
        <v>0</v>
      </c>
      <c r="M27" s="250">
        <v>0</v>
      </c>
      <c r="N27" s="251">
        <v>0</v>
      </c>
      <c r="O27" s="273">
        <f t="shared" si="2"/>
        <v>0</v>
      </c>
      <c r="P27" s="2"/>
      <c r="Q27" s="9"/>
    </row>
    <row r="28" spans="2:17">
      <c r="B28" s="274" t="s">
        <v>258</v>
      </c>
      <c r="C28" s="252">
        <v>0</v>
      </c>
      <c r="D28" s="250">
        <v>0</v>
      </c>
      <c r="E28" s="250">
        <v>0</v>
      </c>
      <c r="F28" s="250">
        <v>0</v>
      </c>
      <c r="G28" s="250">
        <v>0</v>
      </c>
      <c r="H28" s="250">
        <v>0</v>
      </c>
      <c r="I28" s="250">
        <v>0</v>
      </c>
      <c r="J28" s="250">
        <v>0</v>
      </c>
      <c r="K28" s="250">
        <v>0</v>
      </c>
      <c r="L28" s="250">
        <v>0</v>
      </c>
      <c r="M28" s="250">
        <v>0</v>
      </c>
      <c r="N28" s="251">
        <v>0</v>
      </c>
      <c r="O28" s="273">
        <f t="shared" si="2"/>
        <v>0</v>
      </c>
      <c r="P28" s="2"/>
      <c r="Q28" s="9"/>
    </row>
    <row r="29" spans="2:17" ht="18" customHeight="1">
      <c r="B29" s="272" t="s">
        <v>259</v>
      </c>
      <c r="C29" s="244">
        <f>SUM(C30:C31)</f>
        <v>33.314652110000004</v>
      </c>
      <c r="D29" s="245">
        <f>SUM(D30:D31)</f>
        <v>53.76653086000001</v>
      </c>
      <c r="E29" s="245">
        <f t="shared" ref="E29:N29" si="6">SUM(E30:E31)</f>
        <v>63.746636930000008</v>
      </c>
      <c r="F29" s="245">
        <f t="shared" si="6"/>
        <v>48.332337980000005</v>
      </c>
      <c r="G29" s="245">
        <f t="shared" si="6"/>
        <v>43.737555440000001</v>
      </c>
      <c r="H29" s="245">
        <f t="shared" si="6"/>
        <v>46.720418840000001</v>
      </c>
      <c r="I29" s="245">
        <f t="shared" si="6"/>
        <v>51.607166370000009</v>
      </c>
      <c r="J29" s="245">
        <f t="shared" si="6"/>
        <v>44.916756460000002</v>
      </c>
      <c r="K29" s="245">
        <f t="shared" si="6"/>
        <v>49.33238320000001</v>
      </c>
      <c r="L29" s="245">
        <f t="shared" si="6"/>
        <v>43.40362957</v>
      </c>
      <c r="M29" s="245">
        <f t="shared" si="6"/>
        <v>39.412233699999994</v>
      </c>
      <c r="N29" s="247">
        <f t="shared" si="6"/>
        <v>86.716247229999993</v>
      </c>
      <c r="O29" s="271">
        <f t="shared" si="2"/>
        <v>605.00654869000005</v>
      </c>
      <c r="P29" s="2"/>
      <c r="Q29" s="9"/>
    </row>
    <row r="30" spans="2:17">
      <c r="B30" s="265" t="s">
        <v>260</v>
      </c>
      <c r="C30" s="252">
        <v>7.6526208800000006</v>
      </c>
      <c r="D30" s="250">
        <v>12.64371132</v>
      </c>
      <c r="E30" s="250">
        <v>23.631390540000002</v>
      </c>
      <c r="F30" s="250">
        <v>14.05851397</v>
      </c>
      <c r="G30" s="250">
        <v>11.164946819999999</v>
      </c>
      <c r="H30" s="250">
        <v>18.550471690000002</v>
      </c>
      <c r="I30" s="250">
        <v>14.98074641</v>
      </c>
      <c r="J30" s="250">
        <v>10.679908020000001</v>
      </c>
      <c r="K30" s="250">
        <v>20.49109284</v>
      </c>
      <c r="L30" s="250">
        <v>15.104524300000001</v>
      </c>
      <c r="M30" s="250">
        <v>15.833472529999998</v>
      </c>
      <c r="N30" s="251">
        <v>29.787763810000001</v>
      </c>
      <c r="O30" s="273">
        <f t="shared" si="2"/>
        <v>194.57916313000001</v>
      </c>
      <c r="P30" s="2"/>
      <c r="Q30" s="9"/>
    </row>
    <row r="31" spans="2:17">
      <c r="B31" s="265" t="s">
        <v>261</v>
      </c>
      <c r="C31" s="252">
        <f>SUM(C32:C39)</f>
        <v>25.662031230000004</v>
      </c>
      <c r="D31" s="250">
        <f>SUM(D32:D39)</f>
        <v>41.122819540000009</v>
      </c>
      <c r="E31" s="250">
        <f t="shared" ref="E31:N31" si="7">SUM(E32:E39)</f>
        <v>40.115246390000003</v>
      </c>
      <c r="F31" s="250">
        <f t="shared" si="7"/>
        <v>34.273824010000006</v>
      </c>
      <c r="G31" s="250">
        <f t="shared" si="7"/>
        <v>32.572608620000004</v>
      </c>
      <c r="H31" s="250">
        <f t="shared" si="7"/>
        <v>28.169947149999999</v>
      </c>
      <c r="I31" s="250">
        <f t="shared" si="7"/>
        <v>36.626419960000007</v>
      </c>
      <c r="J31" s="250">
        <f t="shared" si="7"/>
        <v>34.236848440000003</v>
      </c>
      <c r="K31" s="250">
        <f t="shared" si="7"/>
        <v>28.841290360000006</v>
      </c>
      <c r="L31" s="250">
        <f t="shared" si="7"/>
        <v>28.299105269999998</v>
      </c>
      <c r="M31" s="250">
        <f t="shared" si="7"/>
        <v>23.578761169999996</v>
      </c>
      <c r="N31" s="251">
        <f t="shared" si="7"/>
        <v>56.928483419999992</v>
      </c>
      <c r="O31" s="273">
        <f t="shared" si="2"/>
        <v>410.42738556000006</v>
      </c>
      <c r="P31" s="2"/>
      <c r="Q31" s="9"/>
    </row>
    <row r="32" spans="2:17">
      <c r="B32" s="274" t="s">
        <v>251</v>
      </c>
      <c r="C32" s="252">
        <v>18.96564223</v>
      </c>
      <c r="D32" s="250">
        <v>19.750631450000004</v>
      </c>
      <c r="E32" s="250">
        <v>19.030585070000001</v>
      </c>
      <c r="F32" s="250">
        <v>19.036425640000001</v>
      </c>
      <c r="G32" s="250">
        <v>19.337270740000001</v>
      </c>
      <c r="H32" s="250">
        <v>19.24296743</v>
      </c>
      <c r="I32" s="250">
        <v>19.329466210000003</v>
      </c>
      <c r="J32" s="250">
        <v>19.006780780000003</v>
      </c>
      <c r="K32" s="250">
        <v>19.064520470000001</v>
      </c>
      <c r="L32" s="250">
        <v>19.142649769999998</v>
      </c>
      <c r="M32" s="250">
        <v>19.431406379999999</v>
      </c>
      <c r="N32" s="251">
        <v>19.089234159999997</v>
      </c>
      <c r="O32" s="273">
        <f t="shared" si="2"/>
        <v>230.42758032999998</v>
      </c>
      <c r="P32" s="2"/>
      <c r="Q32" s="9"/>
    </row>
    <row r="33" spans="2:17">
      <c r="B33" s="274" t="s">
        <v>252</v>
      </c>
      <c r="C33" s="252">
        <v>8.8913469999999994E-2</v>
      </c>
      <c r="D33" s="250">
        <v>8.9950000000000002E-2</v>
      </c>
      <c r="E33" s="250">
        <v>0</v>
      </c>
      <c r="F33" s="250">
        <v>0</v>
      </c>
      <c r="G33" s="250">
        <v>1.92</v>
      </c>
      <c r="H33" s="250">
        <v>0.55415000000000003</v>
      </c>
      <c r="I33" s="250">
        <v>0</v>
      </c>
      <c r="J33" s="250">
        <v>0</v>
      </c>
      <c r="K33" s="250">
        <v>0.52253499999999997</v>
      </c>
      <c r="L33" s="250">
        <v>0</v>
      </c>
      <c r="M33" s="250">
        <v>0</v>
      </c>
      <c r="N33" s="251">
        <v>0</v>
      </c>
      <c r="O33" s="273">
        <f t="shared" si="2"/>
        <v>3.1755484699999998</v>
      </c>
      <c r="P33" s="2"/>
      <c r="Q33" s="9"/>
    </row>
    <row r="34" spans="2:17">
      <c r="B34" s="274" t="s">
        <v>253</v>
      </c>
      <c r="C34" s="252">
        <v>0</v>
      </c>
      <c r="D34" s="250">
        <v>0</v>
      </c>
      <c r="E34" s="250">
        <v>0</v>
      </c>
      <c r="F34" s="250">
        <v>0</v>
      </c>
      <c r="G34" s="250">
        <v>0</v>
      </c>
      <c r="H34" s="250">
        <v>0</v>
      </c>
      <c r="I34" s="250">
        <v>0</v>
      </c>
      <c r="J34" s="250">
        <v>0</v>
      </c>
      <c r="K34" s="250">
        <v>0</v>
      </c>
      <c r="L34" s="250">
        <v>0</v>
      </c>
      <c r="M34" s="250">
        <v>0</v>
      </c>
      <c r="N34" s="251">
        <v>0</v>
      </c>
      <c r="O34" s="273">
        <f t="shared" si="2"/>
        <v>0</v>
      </c>
      <c r="P34" s="2"/>
      <c r="Q34" s="9"/>
    </row>
    <row r="35" spans="2:17">
      <c r="B35" s="274" t="s">
        <v>262</v>
      </c>
      <c r="C35" s="252">
        <v>0.76073241999999996</v>
      </c>
      <c r="D35" s="250">
        <v>0.21418123</v>
      </c>
      <c r="E35" s="250">
        <v>0</v>
      </c>
      <c r="F35" s="250">
        <v>2.2585117700000001</v>
      </c>
      <c r="G35" s="250">
        <v>0.5</v>
      </c>
      <c r="H35" s="250">
        <v>0.5</v>
      </c>
      <c r="I35" s="250">
        <v>1.1190135699999999</v>
      </c>
      <c r="J35" s="250">
        <v>0.67353721</v>
      </c>
      <c r="K35" s="250">
        <v>0</v>
      </c>
      <c r="L35" s="250">
        <v>2.8229952599999999</v>
      </c>
      <c r="M35" s="250">
        <v>0.56000000000000005</v>
      </c>
      <c r="N35" s="251">
        <v>27.495026079999999</v>
      </c>
      <c r="O35" s="273">
        <f t="shared" si="2"/>
        <v>36.903997539999999</v>
      </c>
      <c r="P35" s="2"/>
      <c r="Q35" s="9"/>
    </row>
    <row r="36" spans="2:17">
      <c r="B36" s="274" t="s">
        <v>263</v>
      </c>
      <c r="C36" s="252">
        <v>1.0654921599999998</v>
      </c>
      <c r="D36" s="250">
        <v>11.47540306</v>
      </c>
      <c r="E36" s="250">
        <v>15.328425919999999</v>
      </c>
      <c r="F36" s="250">
        <v>1.1125946</v>
      </c>
      <c r="G36" s="250">
        <v>4.9907936800000003</v>
      </c>
      <c r="H36" s="250">
        <v>2.3945764999999999</v>
      </c>
      <c r="I36" s="250">
        <v>6.4502106900000005</v>
      </c>
      <c r="J36" s="250">
        <v>8.7645269499999987</v>
      </c>
      <c r="K36" s="250">
        <v>2.0772548199999998</v>
      </c>
      <c r="L36" s="250">
        <v>0.14428950000000001</v>
      </c>
      <c r="M36" s="250">
        <v>0.80453440999999992</v>
      </c>
      <c r="N36" s="251">
        <v>0.28864531999999998</v>
      </c>
      <c r="O36" s="273">
        <f t="shared" si="2"/>
        <v>54.896747609999998</v>
      </c>
      <c r="P36" s="2"/>
      <c r="Q36" s="9"/>
    </row>
    <row r="37" spans="2:17">
      <c r="B37" s="274" t="s">
        <v>264</v>
      </c>
      <c r="C37" s="252">
        <v>0</v>
      </c>
      <c r="D37" s="250">
        <v>2.8948480000000001</v>
      </c>
      <c r="E37" s="250">
        <v>0</v>
      </c>
      <c r="F37" s="250">
        <v>0</v>
      </c>
      <c r="G37" s="250">
        <v>0</v>
      </c>
      <c r="H37" s="250">
        <v>0</v>
      </c>
      <c r="I37" s="250">
        <v>3.4740690000000001</v>
      </c>
      <c r="J37" s="250">
        <v>0</v>
      </c>
      <c r="K37" s="250">
        <v>1.651648</v>
      </c>
      <c r="L37" s="250">
        <v>0</v>
      </c>
      <c r="M37" s="250">
        <v>1.9449479999999999</v>
      </c>
      <c r="N37" s="251">
        <v>1.4674430000000001</v>
      </c>
      <c r="O37" s="273">
        <f t="shared" si="2"/>
        <v>11.432955999999999</v>
      </c>
      <c r="P37" s="2"/>
      <c r="Q37" s="9"/>
    </row>
    <row r="38" spans="2:17">
      <c r="B38" s="274" t="s">
        <v>265</v>
      </c>
      <c r="C38" s="252">
        <v>0</v>
      </c>
      <c r="D38" s="250">
        <v>0</v>
      </c>
      <c r="E38" s="250">
        <v>0</v>
      </c>
      <c r="F38" s="250">
        <v>0</v>
      </c>
      <c r="G38" s="250">
        <v>0</v>
      </c>
      <c r="H38" s="250">
        <v>0</v>
      </c>
      <c r="I38" s="250">
        <v>0</v>
      </c>
      <c r="J38" s="250">
        <v>0</v>
      </c>
      <c r="K38" s="250">
        <v>0</v>
      </c>
      <c r="L38" s="250">
        <v>0</v>
      </c>
      <c r="M38" s="250">
        <v>0.34286</v>
      </c>
      <c r="N38" s="251">
        <v>0</v>
      </c>
      <c r="O38" s="273">
        <f t="shared" si="2"/>
        <v>0.34286</v>
      </c>
      <c r="P38" s="2"/>
      <c r="Q38" s="9"/>
    </row>
    <row r="39" spans="2:17">
      <c r="B39" s="274" t="s">
        <v>266</v>
      </c>
      <c r="C39" s="252">
        <v>4.7812509500000004</v>
      </c>
      <c r="D39" s="250">
        <v>6.6978058000000003</v>
      </c>
      <c r="E39" s="250">
        <v>5.7562353999999996</v>
      </c>
      <c r="F39" s="250">
        <v>11.866292</v>
      </c>
      <c r="G39" s="250">
        <v>5.8245442000000001</v>
      </c>
      <c r="H39" s="250">
        <v>5.47825322</v>
      </c>
      <c r="I39" s="250">
        <v>6.2536604900000006</v>
      </c>
      <c r="J39" s="250">
        <v>5.7920034999999999</v>
      </c>
      <c r="K39" s="250">
        <v>5.5253320700000002</v>
      </c>
      <c r="L39" s="250">
        <v>6.1891707399999998</v>
      </c>
      <c r="M39" s="250">
        <v>0.49501237999999997</v>
      </c>
      <c r="N39" s="251">
        <v>8.5881348600000003</v>
      </c>
      <c r="O39" s="273">
        <f t="shared" si="2"/>
        <v>73.247695609999994</v>
      </c>
      <c r="P39" s="2"/>
      <c r="Q39" s="9"/>
    </row>
    <row r="40" spans="2:17" ht="18" customHeight="1">
      <c r="B40" s="275" t="s">
        <v>267</v>
      </c>
      <c r="C40" s="257">
        <f>SUM(C41:C45)</f>
        <v>0</v>
      </c>
      <c r="D40" s="258">
        <f>SUM(D41:D45)</f>
        <v>0</v>
      </c>
      <c r="E40" s="258">
        <f t="shared" ref="E40:N40" si="8">SUM(E41:E45)</f>
        <v>0</v>
      </c>
      <c r="F40" s="258">
        <f t="shared" si="8"/>
        <v>0</v>
      </c>
      <c r="G40" s="258">
        <f t="shared" si="8"/>
        <v>-1.0999000000000001</v>
      </c>
      <c r="H40" s="258">
        <f t="shared" si="8"/>
        <v>-1.00204899</v>
      </c>
      <c r="I40" s="258">
        <f t="shared" si="8"/>
        <v>-0.20904760999999999</v>
      </c>
      <c r="J40" s="258">
        <f t="shared" si="8"/>
        <v>0</v>
      </c>
      <c r="K40" s="258">
        <f t="shared" si="8"/>
        <v>0</v>
      </c>
      <c r="L40" s="258">
        <f t="shared" si="8"/>
        <v>0</v>
      </c>
      <c r="M40" s="258">
        <f t="shared" si="8"/>
        <v>0</v>
      </c>
      <c r="N40" s="259">
        <f t="shared" si="8"/>
        <v>-0.53539999999999999</v>
      </c>
      <c r="O40" s="276">
        <f t="shared" si="2"/>
        <v>-2.8463966000000003</v>
      </c>
      <c r="P40" s="2"/>
      <c r="Q40" s="9"/>
    </row>
    <row r="41" spans="2:17" hidden="1">
      <c r="B41" s="265" t="s">
        <v>251</v>
      </c>
      <c r="C41" s="252">
        <v>0</v>
      </c>
      <c r="D41" s="250">
        <v>0</v>
      </c>
      <c r="E41" s="250">
        <v>0</v>
      </c>
      <c r="F41" s="250">
        <v>0</v>
      </c>
      <c r="G41" s="250">
        <v>-1.0999000000000001</v>
      </c>
      <c r="H41" s="250">
        <v>0</v>
      </c>
      <c r="I41" s="250">
        <v>-0.20904760999999999</v>
      </c>
      <c r="J41" s="250">
        <v>0</v>
      </c>
      <c r="K41" s="250">
        <v>0</v>
      </c>
      <c r="L41" s="250">
        <v>0</v>
      </c>
      <c r="M41" s="250">
        <v>0</v>
      </c>
      <c r="N41" s="251">
        <v>0</v>
      </c>
      <c r="O41" s="273">
        <f t="shared" si="2"/>
        <v>-1.3089476100000002</v>
      </c>
      <c r="P41" s="2"/>
      <c r="Q41" s="9"/>
    </row>
    <row r="42" spans="2:17" hidden="1">
      <c r="B42" s="265" t="s">
        <v>252</v>
      </c>
      <c r="C42" s="252">
        <v>0</v>
      </c>
      <c r="D42" s="250">
        <v>0</v>
      </c>
      <c r="E42" s="250">
        <v>0</v>
      </c>
      <c r="F42" s="250">
        <v>0</v>
      </c>
      <c r="G42" s="250">
        <v>0</v>
      </c>
      <c r="H42" s="250">
        <v>-0.49870251999999998</v>
      </c>
      <c r="I42" s="250">
        <v>0</v>
      </c>
      <c r="J42" s="250">
        <v>0</v>
      </c>
      <c r="K42" s="250">
        <v>0</v>
      </c>
      <c r="L42" s="250">
        <v>0</v>
      </c>
      <c r="M42" s="250">
        <v>0</v>
      </c>
      <c r="N42" s="251">
        <v>-0.53539999999999999</v>
      </c>
      <c r="O42" s="273">
        <f t="shared" si="2"/>
        <v>-1.03410252</v>
      </c>
      <c r="P42" s="2"/>
      <c r="Q42" s="9"/>
    </row>
    <row r="43" spans="2:17" hidden="1">
      <c r="B43" s="265" t="s">
        <v>253</v>
      </c>
      <c r="C43" s="252"/>
      <c r="D43" s="250"/>
      <c r="E43" s="250"/>
      <c r="F43" s="250"/>
      <c r="G43" s="250"/>
      <c r="H43" s="250"/>
      <c r="I43" s="250"/>
      <c r="J43" s="250"/>
      <c r="K43" s="250"/>
      <c r="L43" s="250"/>
      <c r="M43" s="250"/>
      <c r="N43" s="251"/>
      <c r="O43" s="273">
        <f t="shared" si="2"/>
        <v>0</v>
      </c>
      <c r="P43" s="2"/>
      <c r="Q43" s="9"/>
    </row>
    <row r="44" spans="2:17" hidden="1">
      <c r="B44" s="265" t="s">
        <v>254</v>
      </c>
      <c r="C44" s="252"/>
      <c r="D44" s="250"/>
      <c r="E44" s="250"/>
      <c r="F44" s="250"/>
      <c r="G44" s="250"/>
      <c r="H44" s="250">
        <v>-0.50334646999999999</v>
      </c>
      <c r="I44" s="250"/>
      <c r="J44" s="250"/>
      <c r="K44" s="250"/>
      <c r="L44" s="250"/>
      <c r="M44" s="250"/>
      <c r="N44" s="251"/>
      <c r="O44" s="273">
        <f t="shared" si="2"/>
        <v>-0.50334646999999999</v>
      </c>
      <c r="P44" s="2"/>
      <c r="Q44" s="9"/>
    </row>
    <row r="45" spans="2:17" hidden="1">
      <c r="B45" s="265" t="s">
        <v>268</v>
      </c>
      <c r="C45" s="252"/>
      <c r="D45" s="250"/>
      <c r="E45" s="250"/>
      <c r="F45" s="250"/>
      <c r="G45" s="250"/>
      <c r="H45" s="250"/>
      <c r="I45" s="250"/>
      <c r="J45" s="250"/>
      <c r="K45" s="250"/>
      <c r="L45" s="250"/>
      <c r="M45" s="250"/>
      <c r="N45" s="251"/>
      <c r="O45" s="273">
        <f t="shared" si="2"/>
        <v>0</v>
      </c>
      <c r="P45" s="2"/>
      <c r="Q45" s="9"/>
    </row>
    <row r="46" spans="2:17" ht="24.95" hidden="1" customHeight="1">
      <c r="B46" s="25" t="s">
        <v>269</v>
      </c>
      <c r="C46" s="244">
        <f>C9-C16</f>
        <v>4.6645482600000037</v>
      </c>
      <c r="D46" s="245">
        <f>D9-D16</f>
        <v>-6.2527373699999202</v>
      </c>
      <c r="E46" s="245">
        <f t="shared" ref="E46:N46" si="9">E9-E16</f>
        <v>10.395113670000001</v>
      </c>
      <c r="F46" s="245">
        <f t="shared" si="9"/>
        <v>197.28374450000007</v>
      </c>
      <c r="G46" s="245">
        <f t="shared" si="9"/>
        <v>-12.706812730000024</v>
      </c>
      <c r="H46" s="245">
        <f t="shared" si="9"/>
        <v>-48.584819649999986</v>
      </c>
      <c r="I46" s="245">
        <f t="shared" si="9"/>
        <v>-40.566157374999932</v>
      </c>
      <c r="J46" s="245">
        <f t="shared" si="9"/>
        <v>11.369167249000014</v>
      </c>
      <c r="K46" s="245">
        <f t="shared" si="9"/>
        <v>-5.2685432600000013</v>
      </c>
      <c r="L46" s="245">
        <f t="shared" si="9"/>
        <v>-1.8050910799999542</v>
      </c>
      <c r="M46" s="245">
        <f t="shared" si="9"/>
        <v>4.0650787800000501</v>
      </c>
      <c r="N46" s="247">
        <f t="shared" si="9"/>
        <v>-122.20063096400003</v>
      </c>
      <c r="O46" s="271">
        <f t="shared" si="2"/>
        <v>-9.6071399699997073</v>
      </c>
      <c r="P46" s="2"/>
      <c r="Q46" s="9"/>
    </row>
    <row r="47" spans="2:17" ht="24.95" hidden="1" customHeight="1">
      <c r="B47" s="25" t="s">
        <v>296</v>
      </c>
      <c r="C47" s="252"/>
      <c r="D47" s="250"/>
      <c r="E47" s="250"/>
      <c r="F47" s="250"/>
      <c r="G47" s="250"/>
      <c r="H47" s="250"/>
      <c r="I47" s="250"/>
      <c r="J47" s="250"/>
      <c r="K47" s="250"/>
      <c r="L47" s="250"/>
      <c r="M47" s="250"/>
      <c r="N47" s="251"/>
      <c r="O47" s="273"/>
      <c r="P47" s="2"/>
      <c r="Q47" s="9"/>
    </row>
    <row r="48" spans="2:17" ht="18" hidden="1" customHeight="1">
      <c r="B48" s="272" t="s">
        <v>272</v>
      </c>
      <c r="C48" s="244">
        <f>C8-C15</f>
        <v>-28.340206249999994</v>
      </c>
      <c r="D48" s="245">
        <f>D8-D15</f>
        <v>-53.496352079999923</v>
      </c>
      <c r="E48" s="245">
        <f t="shared" ref="E48:N48" si="10">E8-E15</f>
        <v>-52.798298260000024</v>
      </c>
      <c r="F48" s="245">
        <f t="shared" si="10"/>
        <v>148.98845613000003</v>
      </c>
      <c r="G48" s="245">
        <f t="shared" si="10"/>
        <v>-54.618774050000013</v>
      </c>
      <c r="H48" s="245">
        <f t="shared" si="10"/>
        <v>-94.160500829999989</v>
      </c>
      <c r="I48" s="245">
        <f t="shared" si="10"/>
        <v>-90.963189704999934</v>
      </c>
      <c r="J48" s="245">
        <f t="shared" si="10"/>
        <v>-32.175929950999972</v>
      </c>
      <c r="K48" s="245">
        <f t="shared" si="10"/>
        <v>-54.134932929999991</v>
      </c>
      <c r="L48" s="245">
        <f t="shared" si="10"/>
        <v>-44.686248239999998</v>
      </c>
      <c r="M48" s="245">
        <f t="shared" si="10"/>
        <v>-32.493418399999939</v>
      </c>
      <c r="N48" s="247">
        <f t="shared" si="10"/>
        <v>-206.09147819400005</v>
      </c>
      <c r="O48" s="271">
        <f t="shared" si="2"/>
        <v>-594.97087275999979</v>
      </c>
      <c r="P48" s="2"/>
      <c r="Q48" s="9"/>
    </row>
    <row r="49" spans="2:17" ht="18" hidden="1" customHeight="1">
      <c r="B49" s="272" t="s">
        <v>273</v>
      </c>
      <c r="C49" s="244">
        <f>C48-C14</f>
        <v>-28.650103849999994</v>
      </c>
      <c r="D49" s="245">
        <f>D48-D14</f>
        <v>-59.909733309999922</v>
      </c>
      <c r="E49" s="245">
        <f t="shared" ref="E49:N49" si="11">E48-E14</f>
        <v>-53.351523260000022</v>
      </c>
      <c r="F49" s="245">
        <f t="shared" si="11"/>
        <v>148.95140652000003</v>
      </c>
      <c r="G49" s="245">
        <f t="shared" si="11"/>
        <v>-55.344468170000013</v>
      </c>
      <c r="H49" s="245">
        <f t="shared" si="11"/>
        <v>-94.302439499999991</v>
      </c>
      <c r="I49" s="245">
        <f t="shared" si="11"/>
        <v>-91.964276134999935</v>
      </c>
      <c r="J49" s="245">
        <f t="shared" si="11"/>
        <v>-33.547589210999973</v>
      </c>
      <c r="K49" s="245">
        <f t="shared" si="11"/>
        <v>-54.60092645999999</v>
      </c>
      <c r="L49" s="245">
        <f t="shared" si="11"/>
        <v>-45.208720649999997</v>
      </c>
      <c r="M49" s="245">
        <f t="shared" si="11"/>
        <v>-35.226239549999939</v>
      </c>
      <c r="N49" s="247">
        <f t="shared" si="11"/>
        <v>-208.38147819400004</v>
      </c>
      <c r="O49" s="271">
        <f t="shared" si="2"/>
        <v>-611.53609176999976</v>
      </c>
      <c r="P49" s="2"/>
      <c r="Q49" s="9"/>
    </row>
    <row r="50" spans="2:17" ht="18" hidden="1" customHeight="1">
      <c r="B50" s="272" t="s">
        <v>274</v>
      </c>
      <c r="C50" s="244">
        <f>C48-C73</f>
        <v>-55.909401249999995</v>
      </c>
      <c r="D50" s="245">
        <f>D48-D73</f>
        <v>-81.162182079999923</v>
      </c>
      <c r="E50" s="245">
        <f t="shared" ref="E50:N50" si="12">E48-E73</f>
        <v>-80.569056260000025</v>
      </c>
      <c r="F50" s="245">
        <f t="shared" si="12"/>
        <v>121.54042880000003</v>
      </c>
      <c r="G50" s="245">
        <f t="shared" si="12"/>
        <v>-82.604703530000009</v>
      </c>
      <c r="H50" s="245">
        <f t="shared" si="12"/>
        <v>-121.92570644</v>
      </c>
      <c r="I50" s="245">
        <f t="shared" si="12"/>
        <v>-119.16133870499993</v>
      </c>
      <c r="J50" s="245">
        <f t="shared" si="12"/>
        <v>-60.189945070999968</v>
      </c>
      <c r="K50" s="245">
        <f t="shared" si="12"/>
        <v>-81.788709069999982</v>
      </c>
      <c r="L50" s="245">
        <f t="shared" si="12"/>
        <v>-74.195481150000006</v>
      </c>
      <c r="M50" s="245">
        <f t="shared" si="12"/>
        <v>-62.702632349999945</v>
      </c>
      <c r="N50" s="247">
        <f t="shared" si="12"/>
        <v>-253.44187327400005</v>
      </c>
      <c r="O50" s="271">
        <f t="shared" si="2"/>
        <v>-952.11060037999982</v>
      </c>
      <c r="P50" s="2"/>
      <c r="Q50" s="9"/>
    </row>
    <row r="51" spans="2:17" ht="24.95" hidden="1" customHeight="1">
      <c r="B51" s="25" t="s">
        <v>275</v>
      </c>
      <c r="C51" s="244">
        <f>SUM(C52:C53)</f>
        <v>2.3755999999999986</v>
      </c>
      <c r="D51" s="245">
        <f>SUM(D52:D53)</f>
        <v>-19.14068404</v>
      </c>
      <c r="E51" s="245">
        <f t="shared" ref="E51:N51" si="13">SUM(E52:E53)</f>
        <v>-16.107050000000001</v>
      </c>
      <c r="F51" s="245">
        <f t="shared" si="13"/>
        <v>-13</v>
      </c>
      <c r="G51" s="245">
        <f t="shared" si="13"/>
        <v>-36.139500000000005</v>
      </c>
      <c r="H51" s="245">
        <f t="shared" si="13"/>
        <v>-28.329099999999997</v>
      </c>
      <c r="I51" s="245">
        <f t="shared" si="13"/>
        <v>-18.900000000000002</v>
      </c>
      <c r="J51" s="245">
        <f t="shared" si="13"/>
        <v>90.8</v>
      </c>
      <c r="K51" s="245">
        <f t="shared" si="13"/>
        <v>-16.8</v>
      </c>
      <c r="L51" s="245">
        <f t="shared" si="13"/>
        <v>230.50299999999999</v>
      </c>
      <c r="M51" s="245">
        <f t="shared" si="13"/>
        <v>71.3</v>
      </c>
      <c r="N51" s="247">
        <f t="shared" si="13"/>
        <v>18.2</v>
      </c>
      <c r="O51" s="271">
        <f t="shared" si="2"/>
        <v>264.76226595999998</v>
      </c>
      <c r="P51" s="2"/>
      <c r="Q51" s="9"/>
    </row>
    <row r="52" spans="2:17" hidden="1">
      <c r="B52" s="35" t="s">
        <v>276</v>
      </c>
      <c r="C52" s="252">
        <v>15.675599999999999</v>
      </c>
      <c r="D52" s="250">
        <v>1.1000000000000001</v>
      </c>
      <c r="E52" s="250">
        <v>4.8929500000000008</v>
      </c>
      <c r="F52" s="250">
        <v>1</v>
      </c>
      <c r="G52" s="250">
        <v>0.3</v>
      </c>
      <c r="H52" s="250">
        <v>2.0999999999999996</v>
      </c>
      <c r="I52" s="250">
        <v>2.1999999999999997</v>
      </c>
      <c r="J52" s="250">
        <v>100.5</v>
      </c>
      <c r="K52" s="250">
        <v>6.5</v>
      </c>
      <c r="L52" s="250">
        <v>251.7</v>
      </c>
      <c r="M52" s="250">
        <v>104</v>
      </c>
      <c r="N52" s="251">
        <v>43.4</v>
      </c>
      <c r="O52" s="273">
        <f t="shared" si="2"/>
        <v>533.36855000000003</v>
      </c>
      <c r="P52" s="2"/>
      <c r="Q52" s="9"/>
    </row>
    <row r="53" spans="2:17" hidden="1">
      <c r="B53" s="35" t="s">
        <v>277</v>
      </c>
      <c r="C53" s="252">
        <v>-13.3</v>
      </c>
      <c r="D53" s="250">
        <v>-20.240684040000001</v>
      </c>
      <c r="E53" s="250">
        <v>-21</v>
      </c>
      <c r="F53" s="250">
        <v>-14</v>
      </c>
      <c r="G53" s="250">
        <v>-36.439500000000002</v>
      </c>
      <c r="H53" s="250">
        <v>-30.429099999999998</v>
      </c>
      <c r="I53" s="250">
        <v>-21.1</v>
      </c>
      <c r="J53" s="250">
        <v>-9.6999999999999993</v>
      </c>
      <c r="K53" s="250">
        <v>-23.3</v>
      </c>
      <c r="L53" s="250">
        <v>-21.196999999999999</v>
      </c>
      <c r="M53" s="250">
        <v>-32.700000000000003</v>
      </c>
      <c r="N53" s="251">
        <v>-25.2</v>
      </c>
      <c r="O53" s="273">
        <f t="shared" si="2"/>
        <v>-268.60628403999999</v>
      </c>
      <c r="P53" s="2"/>
      <c r="Q53" s="9"/>
    </row>
    <row r="54" spans="2:17" ht="24.95" hidden="1" customHeight="1">
      <c r="B54" s="25" t="s">
        <v>278</v>
      </c>
      <c r="C54" s="244">
        <f>+C55+C58+C61+C64+C65</f>
        <v>25.964606249999989</v>
      </c>
      <c r="D54" s="245">
        <f>+D55+D58+D61+D64+D65</f>
        <v>72.637036119999919</v>
      </c>
      <c r="E54" s="245">
        <f t="shared" ref="E54:N54" si="14">+E55+E58+E61+E64+E65</f>
        <v>68.905348259999982</v>
      </c>
      <c r="F54" s="245">
        <f t="shared" si="14"/>
        <v>-135.98845613000003</v>
      </c>
      <c r="G54" s="245">
        <f t="shared" si="14"/>
        <v>90.758274050000011</v>
      </c>
      <c r="H54" s="245">
        <f t="shared" si="14"/>
        <v>122.48960082999997</v>
      </c>
      <c r="I54" s="245">
        <f t="shared" si="14"/>
        <v>109.86318970499994</v>
      </c>
      <c r="J54" s="245">
        <f t="shared" si="14"/>
        <v>-58.624070049000025</v>
      </c>
      <c r="K54" s="245">
        <f t="shared" si="14"/>
        <v>70.934932929999988</v>
      </c>
      <c r="L54" s="245">
        <f t="shared" si="14"/>
        <v>-185.81675175999999</v>
      </c>
      <c r="M54" s="245">
        <f t="shared" si="14"/>
        <v>-38.806581600000058</v>
      </c>
      <c r="N54" s="247">
        <f t="shared" si="14"/>
        <v>187.89147819400006</v>
      </c>
      <c r="O54" s="271">
        <f>SUM(C54:N54)</f>
        <v>330.20860679999976</v>
      </c>
      <c r="P54" s="2"/>
      <c r="Q54" s="9"/>
    </row>
    <row r="55" spans="2:17" hidden="1">
      <c r="B55" s="35" t="s">
        <v>279</v>
      </c>
      <c r="C55" s="252">
        <f>+C56+C57</f>
        <v>49.823700000000002</v>
      </c>
      <c r="D55" s="250">
        <f>+D56+D57</f>
        <v>134.47499999999999</v>
      </c>
      <c r="E55" s="250">
        <f t="shared" ref="E55:N55" si="15">+E56+E57</f>
        <v>195.30199999999999</v>
      </c>
      <c r="F55" s="250">
        <f t="shared" si="15"/>
        <v>-4.7805999999999997</v>
      </c>
      <c r="G55" s="250">
        <f t="shared" si="15"/>
        <v>43.548999999999999</v>
      </c>
      <c r="H55" s="250">
        <f t="shared" si="15"/>
        <v>-56.207999999999998</v>
      </c>
      <c r="I55" s="250">
        <f t="shared" si="15"/>
        <v>95.998000000000005</v>
      </c>
      <c r="J55" s="250">
        <f t="shared" si="15"/>
        <v>-118.297</v>
      </c>
      <c r="K55" s="250">
        <f t="shared" si="15"/>
        <v>71.787999999999997</v>
      </c>
      <c r="L55" s="250">
        <f t="shared" si="15"/>
        <v>-175.429</v>
      </c>
      <c r="M55" s="250">
        <f t="shared" si="15"/>
        <v>-31.806999999999999</v>
      </c>
      <c r="N55" s="251">
        <f t="shared" si="15"/>
        <v>108.018</v>
      </c>
      <c r="O55" s="273">
        <f t="shared" si="2"/>
        <v>312.43209999999999</v>
      </c>
      <c r="P55" s="2"/>
      <c r="Q55" s="9"/>
    </row>
    <row r="56" spans="2:17" hidden="1">
      <c r="B56" s="265" t="s">
        <v>280</v>
      </c>
      <c r="C56" s="252"/>
      <c r="D56" s="250"/>
      <c r="E56" s="250"/>
      <c r="F56" s="250"/>
      <c r="G56" s="250"/>
      <c r="H56" s="250"/>
      <c r="I56" s="250"/>
      <c r="J56" s="250"/>
      <c r="K56" s="250"/>
      <c r="L56" s="250"/>
      <c r="M56" s="250"/>
      <c r="N56" s="251"/>
      <c r="O56" s="273">
        <f t="shared" si="2"/>
        <v>0</v>
      </c>
      <c r="P56" s="2"/>
      <c r="Q56" s="9"/>
    </row>
    <row r="57" spans="2:17" hidden="1">
      <c r="B57" s="265" t="s">
        <v>281</v>
      </c>
      <c r="C57" s="252">
        <v>49.823700000000002</v>
      </c>
      <c r="D57" s="250">
        <v>134.47499999999999</v>
      </c>
      <c r="E57" s="250">
        <v>195.30199999999999</v>
      </c>
      <c r="F57" s="250">
        <v>-4.7805999999999997</v>
      </c>
      <c r="G57" s="250">
        <v>43.548999999999999</v>
      </c>
      <c r="H57" s="250">
        <v>-56.207999999999998</v>
      </c>
      <c r="I57" s="250">
        <v>95.998000000000005</v>
      </c>
      <c r="J57" s="250">
        <v>-118.297</v>
      </c>
      <c r="K57" s="250">
        <v>71.787999999999997</v>
      </c>
      <c r="L57" s="250">
        <v>-175.429</v>
      </c>
      <c r="M57" s="250">
        <v>-31.806999999999999</v>
      </c>
      <c r="N57" s="251">
        <v>108.018</v>
      </c>
      <c r="O57" s="273">
        <f t="shared" si="2"/>
        <v>312.43209999999999</v>
      </c>
      <c r="P57" s="2"/>
      <c r="Q57" s="9"/>
    </row>
    <row r="58" spans="2:17" hidden="1">
      <c r="B58" s="35" t="s">
        <v>282</v>
      </c>
      <c r="C58" s="252">
        <f>+C59+C60</f>
        <v>-2.272400290000002</v>
      </c>
      <c r="D58" s="250">
        <f>+D59+D60</f>
        <v>-66.424581920000008</v>
      </c>
      <c r="E58" s="250">
        <f t="shared" ref="E58:N58" si="16">+E59+E60</f>
        <v>73.763795999999999</v>
      </c>
      <c r="F58" s="250">
        <f t="shared" si="16"/>
        <v>-149.42331031000001</v>
      </c>
      <c r="G58" s="250">
        <f t="shared" si="16"/>
        <v>75.365028549999991</v>
      </c>
      <c r="H58" s="250">
        <f t="shared" si="16"/>
        <v>-25.88978741</v>
      </c>
      <c r="I58" s="250">
        <f t="shared" si="16"/>
        <v>18.390997280000001</v>
      </c>
      <c r="J58" s="250">
        <f t="shared" si="16"/>
        <v>42.520284320000002</v>
      </c>
      <c r="K58" s="250">
        <f t="shared" si="16"/>
        <v>-18.162459290000001</v>
      </c>
      <c r="L58" s="250">
        <f t="shared" si="16"/>
        <v>0.56910000000000061</v>
      </c>
      <c r="M58" s="250">
        <f t="shared" si="16"/>
        <v>-22.921865339999997</v>
      </c>
      <c r="N58" s="251">
        <f t="shared" si="16"/>
        <v>33.310182959999999</v>
      </c>
      <c r="O58" s="251">
        <f t="shared" si="2"/>
        <v>-41.175015450000011</v>
      </c>
      <c r="P58" s="2"/>
      <c r="Q58" s="9"/>
    </row>
    <row r="59" spans="2:17" hidden="1">
      <c r="B59" s="265" t="s">
        <v>280</v>
      </c>
      <c r="C59" s="252">
        <v>-6.6024002900000021</v>
      </c>
      <c r="D59" s="250">
        <v>-33.285581919999998</v>
      </c>
      <c r="E59" s="250">
        <v>39.087795999999997</v>
      </c>
      <c r="F59" s="250">
        <v>19.976689690000001</v>
      </c>
      <c r="G59" s="250">
        <v>-42.693971450000006</v>
      </c>
      <c r="H59" s="250">
        <v>-44.461787409999999</v>
      </c>
      <c r="I59" s="250">
        <v>23.761997279999999</v>
      </c>
      <c r="J59" s="250">
        <v>35.505284320000001</v>
      </c>
      <c r="K59" s="250">
        <v>1.2385407100000001</v>
      </c>
      <c r="L59" s="250">
        <v>-15.591900000000001</v>
      </c>
      <c r="M59" s="250">
        <v>-18.399865339999998</v>
      </c>
      <c r="N59" s="251">
        <v>0.99618295999999995</v>
      </c>
      <c r="O59" s="251">
        <f t="shared" si="2"/>
        <v>-40.469015450000008</v>
      </c>
      <c r="P59" s="2"/>
      <c r="Q59" s="9"/>
    </row>
    <row r="60" spans="2:17" hidden="1">
      <c r="B60" s="265" t="s">
        <v>281</v>
      </c>
      <c r="C60" s="252">
        <v>4.33</v>
      </c>
      <c r="D60" s="250">
        <v>-33.139000000000003</v>
      </c>
      <c r="E60" s="250">
        <v>34.676000000000002</v>
      </c>
      <c r="F60" s="250">
        <v>-169.4</v>
      </c>
      <c r="G60" s="250">
        <v>118.059</v>
      </c>
      <c r="H60" s="250">
        <v>18.571999999999999</v>
      </c>
      <c r="I60" s="250">
        <v>-5.3710000000000004</v>
      </c>
      <c r="J60" s="250">
        <v>7.0149999999999997</v>
      </c>
      <c r="K60" s="250">
        <v>-19.401</v>
      </c>
      <c r="L60" s="250">
        <v>16.161000000000001</v>
      </c>
      <c r="M60" s="250">
        <v>-4.5220000000000002</v>
      </c>
      <c r="N60" s="251">
        <v>32.314</v>
      </c>
      <c r="O60" s="251">
        <f t="shared" si="2"/>
        <v>-0.70600000000001728</v>
      </c>
      <c r="P60" s="2"/>
      <c r="Q60" s="9"/>
    </row>
    <row r="61" spans="2:17" hidden="1">
      <c r="B61" s="35" t="s">
        <v>283</v>
      </c>
      <c r="C61" s="252">
        <f>+C62+C63</f>
        <v>0</v>
      </c>
      <c r="D61" s="250">
        <f>+D62+D63</f>
        <v>0</v>
      </c>
      <c r="E61" s="250">
        <f t="shared" ref="E61:N61" si="17">+E62+E63</f>
        <v>0</v>
      </c>
      <c r="F61" s="250">
        <f t="shared" si="17"/>
        <v>0</v>
      </c>
      <c r="G61" s="250">
        <f t="shared" si="17"/>
        <v>0</v>
      </c>
      <c r="H61" s="250">
        <f t="shared" si="17"/>
        <v>0</v>
      </c>
      <c r="I61" s="250">
        <f t="shared" si="17"/>
        <v>0</v>
      </c>
      <c r="J61" s="250">
        <f t="shared" si="17"/>
        <v>0</v>
      </c>
      <c r="K61" s="250">
        <f t="shared" si="17"/>
        <v>0</v>
      </c>
      <c r="L61" s="250">
        <f t="shared" si="17"/>
        <v>0</v>
      </c>
      <c r="M61" s="250">
        <f t="shared" si="17"/>
        <v>0</v>
      </c>
      <c r="N61" s="251">
        <f t="shared" si="17"/>
        <v>0</v>
      </c>
      <c r="O61" s="251">
        <f t="shared" si="2"/>
        <v>0</v>
      </c>
      <c r="P61" s="2"/>
      <c r="Q61" s="9"/>
    </row>
    <row r="62" spans="2:17" hidden="1">
      <c r="B62" s="265" t="s">
        <v>280</v>
      </c>
      <c r="C62" s="252"/>
      <c r="D62" s="250"/>
      <c r="E62" s="250"/>
      <c r="F62" s="250"/>
      <c r="G62" s="250"/>
      <c r="H62" s="250"/>
      <c r="I62" s="250"/>
      <c r="J62" s="250"/>
      <c r="K62" s="250"/>
      <c r="L62" s="250"/>
      <c r="M62" s="250"/>
      <c r="N62" s="251"/>
      <c r="O62" s="251">
        <f t="shared" si="2"/>
        <v>0</v>
      </c>
      <c r="P62" s="2"/>
      <c r="Q62" s="9"/>
    </row>
    <row r="63" spans="2:17" hidden="1">
      <c r="B63" s="265" t="s">
        <v>281</v>
      </c>
      <c r="C63" s="252"/>
      <c r="D63" s="250"/>
      <c r="E63" s="250"/>
      <c r="F63" s="250"/>
      <c r="G63" s="250"/>
      <c r="H63" s="250"/>
      <c r="I63" s="250"/>
      <c r="J63" s="250"/>
      <c r="K63" s="250"/>
      <c r="L63" s="250"/>
      <c r="M63" s="250"/>
      <c r="N63" s="251"/>
      <c r="O63" s="251">
        <f t="shared" si="2"/>
        <v>0</v>
      </c>
      <c r="P63" s="2"/>
      <c r="Q63" s="9"/>
    </row>
    <row r="64" spans="2:17" hidden="1">
      <c r="B64" s="35" t="s">
        <v>284</v>
      </c>
      <c r="C64" s="252">
        <v>24.081705899999999</v>
      </c>
      <c r="D64" s="250">
        <v>-36.662966089999998</v>
      </c>
      <c r="E64" s="250">
        <v>-109.31142015</v>
      </c>
      <c r="F64" s="250">
        <v>43.979204680000002</v>
      </c>
      <c r="G64" s="250">
        <v>0.15170128999999832</v>
      </c>
      <c r="H64" s="250">
        <v>218.08637621000003</v>
      </c>
      <c r="I64" s="250">
        <v>33.072260460000003</v>
      </c>
      <c r="J64" s="250">
        <v>48.454341159999998</v>
      </c>
      <c r="K64" s="250">
        <v>27.898482019999999</v>
      </c>
      <c r="L64" s="250">
        <v>46.384238529999998</v>
      </c>
      <c r="M64" s="250">
        <v>25.573417820000003</v>
      </c>
      <c r="N64" s="251">
        <v>91.897216499999999</v>
      </c>
      <c r="O64" s="251">
        <f t="shared" si="2"/>
        <v>413.60455833000003</v>
      </c>
      <c r="P64" s="2"/>
      <c r="Q64" s="9"/>
    </row>
    <row r="65" spans="2:17" hidden="1">
      <c r="B65" s="35" t="s">
        <v>285</v>
      </c>
      <c r="C65" s="252">
        <f>SUM(C66:C70)</f>
        <v>-45.668399360000009</v>
      </c>
      <c r="D65" s="250">
        <f>SUM(D66:D70)</f>
        <v>41.249584129999931</v>
      </c>
      <c r="E65" s="250">
        <f t="shared" ref="E65:N65" si="18">SUM(E66:E70)</f>
        <v>-90.849027589999992</v>
      </c>
      <c r="F65" s="250">
        <f t="shared" si="18"/>
        <v>-25.763750500000043</v>
      </c>
      <c r="G65" s="250">
        <f t="shared" si="18"/>
        <v>-28.307455789999981</v>
      </c>
      <c r="H65" s="250">
        <f t="shared" si="18"/>
        <v>-13.498987970000051</v>
      </c>
      <c r="I65" s="250">
        <f t="shared" si="18"/>
        <v>-37.598068035000068</v>
      </c>
      <c r="J65" s="250">
        <f t="shared" si="18"/>
        <v>-31.301695529000032</v>
      </c>
      <c r="K65" s="250">
        <f t="shared" si="18"/>
        <v>-10.589089800000011</v>
      </c>
      <c r="L65" s="250">
        <f t="shared" si="18"/>
        <v>-57.341090289999975</v>
      </c>
      <c r="M65" s="250">
        <f t="shared" si="18"/>
        <v>-9.6511340800000625</v>
      </c>
      <c r="N65" s="251">
        <f t="shared" si="18"/>
        <v>-45.333921265999948</v>
      </c>
      <c r="O65" s="273">
        <f t="shared" si="2"/>
        <v>-354.65303608000028</v>
      </c>
      <c r="P65" s="2"/>
      <c r="Q65" s="9"/>
    </row>
    <row r="66" spans="2:17" hidden="1">
      <c r="B66" s="265" t="s">
        <v>286</v>
      </c>
      <c r="C66" s="252"/>
      <c r="D66" s="250"/>
      <c r="E66" s="250"/>
      <c r="F66" s="250"/>
      <c r="G66" s="250"/>
      <c r="H66" s="250"/>
      <c r="I66" s="250"/>
      <c r="J66" s="250"/>
      <c r="K66" s="250"/>
      <c r="L66" s="250"/>
      <c r="M66" s="250"/>
      <c r="N66" s="251"/>
      <c r="O66" s="273">
        <f t="shared" si="2"/>
        <v>0</v>
      </c>
      <c r="P66" s="2"/>
      <c r="Q66" s="9"/>
    </row>
    <row r="67" spans="2:17" hidden="1">
      <c r="B67" s="265" t="s">
        <v>287</v>
      </c>
      <c r="C67" s="252"/>
      <c r="D67" s="250"/>
      <c r="E67" s="250"/>
      <c r="F67" s="250"/>
      <c r="G67" s="250"/>
      <c r="H67" s="250"/>
      <c r="I67" s="250"/>
      <c r="J67" s="250"/>
      <c r="K67" s="250"/>
      <c r="L67" s="250"/>
      <c r="M67" s="250"/>
      <c r="N67" s="251"/>
      <c r="O67" s="273">
        <f t="shared" si="2"/>
        <v>0</v>
      </c>
      <c r="P67" s="2"/>
      <c r="Q67" s="9"/>
    </row>
    <row r="68" spans="2:17" hidden="1">
      <c r="B68" s="265" t="s">
        <v>288</v>
      </c>
      <c r="C68" s="252"/>
      <c r="D68" s="250"/>
      <c r="E68" s="250"/>
      <c r="F68" s="250"/>
      <c r="G68" s="250"/>
      <c r="H68" s="250"/>
      <c r="I68" s="250"/>
      <c r="J68" s="250"/>
      <c r="K68" s="250"/>
      <c r="L68" s="250"/>
      <c r="M68" s="250"/>
      <c r="N68" s="251"/>
      <c r="O68" s="273">
        <f t="shared" si="2"/>
        <v>0</v>
      </c>
      <c r="P68" s="2"/>
      <c r="Q68" s="9"/>
    </row>
    <row r="69" spans="2:17" hidden="1">
      <c r="B69" s="265" t="s">
        <v>289</v>
      </c>
      <c r="C69" s="252">
        <v>-27.569195000000001</v>
      </c>
      <c r="D69" s="250">
        <v>-27.66583</v>
      </c>
      <c r="E69" s="250">
        <v>-27.770758000000001</v>
      </c>
      <c r="F69" s="250">
        <v>-27.448027330000002</v>
      </c>
      <c r="G69" s="250">
        <v>-27.985929479999999</v>
      </c>
      <c r="H69" s="250">
        <v>-27.765205610000002</v>
      </c>
      <c r="I69" s="250">
        <v>-28.198149000000001</v>
      </c>
      <c r="J69" s="250">
        <v>-28.01401512</v>
      </c>
      <c r="K69" s="250">
        <v>-27.653776139999998</v>
      </c>
      <c r="L69" s="250">
        <v>-29.509232910000001</v>
      </c>
      <c r="M69" s="250">
        <v>-30.209213950000002</v>
      </c>
      <c r="N69" s="251">
        <v>-47.350395079999998</v>
      </c>
      <c r="O69" s="273">
        <f t="shared" si="2"/>
        <v>-357.13972762000003</v>
      </c>
      <c r="P69" s="2"/>
      <c r="Q69" s="9"/>
    </row>
    <row r="70" spans="2:17" hidden="1">
      <c r="B70" s="265" t="s">
        <v>285</v>
      </c>
      <c r="C70" s="252">
        <v>-18.099204360000009</v>
      </c>
      <c r="D70" s="250">
        <v>68.915414129999931</v>
      </c>
      <c r="E70" s="250">
        <v>-63.078269589999991</v>
      </c>
      <c r="F70" s="250">
        <v>1.6842768299999591</v>
      </c>
      <c r="G70" s="250">
        <v>-0.32152630999998166</v>
      </c>
      <c r="H70" s="250">
        <v>14.266217639999951</v>
      </c>
      <c r="I70" s="250">
        <v>-9.3999190350000674</v>
      </c>
      <c r="J70" s="250">
        <v>-3.287680409000032</v>
      </c>
      <c r="K70" s="250">
        <v>17.064686339999987</v>
      </c>
      <c r="L70" s="250">
        <v>-27.831857379999974</v>
      </c>
      <c r="M70" s="250">
        <v>20.55807986999994</v>
      </c>
      <c r="N70" s="251">
        <v>2.0164738140000509</v>
      </c>
      <c r="O70" s="273">
        <f t="shared" si="2"/>
        <v>2.4866915399997644</v>
      </c>
      <c r="P70" s="2"/>
      <c r="Q70" s="9"/>
    </row>
    <row r="71" spans="2:17" ht="24.75" hidden="1" customHeight="1">
      <c r="B71" s="25" t="s">
        <v>290</v>
      </c>
      <c r="C71" s="244">
        <f>-C48-C51-C54</f>
        <v>0</v>
      </c>
      <c r="D71" s="245">
        <f>-D48-D51-D54</f>
        <v>0</v>
      </c>
      <c r="E71" s="245">
        <f t="shared" ref="E71:N71" si="19">-E48-E51-E54</f>
        <v>0</v>
      </c>
      <c r="F71" s="245">
        <f t="shared" si="19"/>
        <v>0</v>
      </c>
      <c r="G71" s="245">
        <f t="shared" si="19"/>
        <v>0</v>
      </c>
      <c r="H71" s="245">
        <f t="shared" si="19"/>
        <v>0</v>
      </c>
      <c r="I71" s="245">
        <f t="shared" si="19"/>
        <v>0</v>
      </c>
      <c r="J71" s="245">
        <f t="shared" si="19"/>
        <v>0</v>
      </c>
      <c r="K71" s="245">
        <f t="shared" si="19"/>
        <v>0</v>
      </c>
      <c r="L71" s="245">
        <f t="shared" si="19"/>
        <v>0</v>
      </c>
      <c r="M71" s="245">
        <f t="shared" si="19"/>
        <v>0</v>
      </c>
      <c r="N71" s="247">
        <f t="shared" si="19"/>
        <v>0</v>
      </c>
      <c r="O71" s="271">
        <f t="shared" si="2"/>
        <v>0</v>
      </c>
      <c r="P71" s="2"/>
      <c r="Q71" s="9"/>
    </row>
    <row r="72" spans="2:17" hidden="1">
      <c r="B72" s="42"/>
      <c r="C72" s="252"/>
      <c r="D72" s="250"/>
      <c r="E72" s="250"/>
      <c r="F72" s="250"/>
      <c r="G72" s="250"/>
      <c r="H72" s="250"/>
      <c r="I72" s="250"/>
      <c r="J72" s="250"/>
      <c r="K72" s="250"/>
      <c r="L72" s="250"/>
      <c r="M72" s="250"/>
      <c r="N72" s="251"/>
      <c r="O72" s="273"/>
      <c r="P72" s="2"/>
      <c r="Q72" s="9"/>
    </row>
    <row r="73" spans="2:17" ht="24.75" hidden="1" customHeight="1">
      <c r="B73" s="25" t="s">
        <v>291</v>
      </c>
      <c r="C73" s="244">
        <v>27.569195000000001</v>
      </c>
      <c r="D73" s="245">
        <v>27.66583</v>
      </c>
      <c r="E73" s="245">
        <v>27.770758000000001</v>
      </c>
      <c r="F73" s="245">
        <v>27.448027330000002</v>
      </c>
      <c r="G73" s="245">
        <v>27.985929479999999</v>
      </c>
      <c r="H73" s="245">
        <v>27.765205610000002</v>
      </c>
      <c r="I73" s="245">
        <v>28.198149000000001</v>
      </c>
      <c r="J73" s="245">
        <v>28.01401512</v>
      </c>
      <c r="K73" s="245">
        <v>27.653776139999998</v>
      </c>
      <c r="L73" s="245">
        <v>29.509232910000001</v>
      </c>
      <c r="M73" s="245">
        <v>30.209213950000002</v>
      </c>
      <c r="N73" s="247">
        <v>47.350395079999998</v>
      </c>
      <c r="O73" s="271">
        <f>SUM(C73:N73)</f>
        <v>357.13972762000003</v>
      </c>
      <c r="P73" s="2"/>
      <c r="Q73" s="9"/>
    </row>
    <row r="74" spans="2:17" ht="24.75" hidden="1" customHeight="1">
      <c r="B74" s="25" t="s">
        <v>292</v>
      </c>
      <c r="C74" s="277"/>
      <c r="D74" s="278"/>
      <c r="E74" s="278"/>
      <c r="F74" s="278"/>
      <c r="G74" s="278"/>
      <c r="H74" s="278"/>
      <c r="I74" s="278"/>
      <c r="J74" s="278"/>
      <c r="K74" s="278"/>
      <c r="L74" s="278"/>
      <c r="M74" s="278"/>
      <c r="N74" s="273"/>
      <c r="O74" s="273">
        <f>SUM(C74:N74)</f>
        <v>0</v>
      </c>
      <c r="P74" s="2"/>
      <c r="Q74" s="9"/>
    </row>
    <row r="75" spans="2:17" ht="26.25" hidden="1" customHeight="1">
      <c r="B75" s="38" t="s">
        <v>56</v>
      </c>
      <c r="C75" s="279"/>
      <c r="D75" s="280"/>
      <c r="E75" s="280"/>
      <c r="F75" s="280"/>
      <c r="G75" s="280"/>
      <c r="H75" s="280"/>
      <c r="I75" s="280"/>
      <c r="J75" s="280"/>
      <c r="K75" s="280"/>
      <c r="L75" s="280"/>
      <c r="M75" s="280"/>
      <c r="N75" s="281"/>
      <c r="O75" s="267">
        <v>18447.919999999998</v>
      </c>
      <c r="P75" s="2"/>
      <c r="Q75" s="9"/>
    </row>
    <row r="76" spans="2:17" ht="6" customHeight="1">
      <c r="B76" s="2"/>
      <c r="C76" s="2"/>
      <c r="D76" s="2"/>
      <c r="E76" s="2"/>
      <c r="F76" s="2"/>
      <c r="G76" s="2"/>
      <c r="H76" s="2"/>
      <c r="I76" s="2"/>
      <c r="J76" s="2"/>
      <c r="K76" s="2"/>
      <c r="L76" s="2"/>
      <c r="M76" s="2"/>
      <c r="N76" s="2"/>
      <c r="O76" s="2"/>
      <c r="P76" s="2"/>
      <c r="Q76" s="9"/>
    </row>
    <row r="77" spans="2:17">
      <c r="B77" s="2" t="s">
        <v>293</v>
      </c>
      <c r="C77" s="2"/>
      <c r="D77" s="2"/>
      <c r="E77" s="2"/>
      <c r="F77" s="2"/>
      <c r="G77" s="2"/>
      <c r="H77" s="2"/>
      <c r="I77" s="2"/>
      <c r="J77" s="2"/>
      <c r="K77" s="2"/>
      <c r="L77" s="2"/>
      <c r="M77" s="2"/>
      <c r="N77" s="2"/>
      <c r="O77" s="2"/>
      <c r="P77" s="2"/>
      <c r="Q77" s="9"/>
    </row>
    <row r="78" spans="2:17">
      <c r="B78" s="2"/>
      <c r="C78" s="2"/>
      <c r="D78" s="2"/>
      <c r="E78" s="2"/>
      <c r="F78" s="2"/>
      <c r="G78" s="2"/>
      <c r="H78" s="2"/>
      <c r="I78" s="2"/>
      <c r="J78" s="2"/>
      <c r="K78" s="2"/>
      <c r="L78" s="2"/>
      <c r="M78" s="2"/>
      <c r="N78" s="2"/>
      <c r="O78" s="2"/>
      <c r="P78" s="2"/>
      <c r="Q78" s="9"/>
    </row>
  </sheetData>
  <printOptions horizontalCentered="1"/>
  <pageMargins left="0.7" right="0.7" top="0.75" bottom="0.75" header="0.3" footer="0.3"/>
  <pageSetup scale="71" orientation="landscape" r:id="rId1"/>
  <ignoredErrors>
    <ignoredError sqref="C9:N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Q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s>
  <sheetData>
    <row r="2" spans="2:16">
      <c r="B2" s="234" t="s">
        <v>18</v>
      </c>
      <c r="C2" s="2"/>
      <c r="D2" s="2"/>
      <c r="E2" s="2"/>
      <c r="F2" s="2"/>
      <c r="G2" s="2"/>
      <c r="H2" s="2"/>
      <c r="I2" s="2"/>
      <c r="J2" s="2"/>
      <c r="K2" s="2"/>
      <c r="L2" s="2"/>
      <c r="M2" s="2"/>
      <c r="N2" s="2"/>
      <c r="O2" s="2"/>
      <c r="P2" s="2"/>
    </row>
    <row r="3" spans="2:16">
      <c r="B3" s="234" t="s">
        <v>299</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300</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315.28592924000003</v>
      </c>
      <c r="D8" s="246">
        <f>+D9+D13+D14</f>
        <v>263.82754728999998</v>
      </c>
      <c r="E8" s="246">
        <f t="shared" ref="E8:N8" si="0">+E9+E13+E14</f>
        <v>298.50122799000002</v>
      </c>
      <c r="F8" s="246">
        <f t="shared" si="0"/>
        <v>514.00115767000011</v>
      </c>
      <c r="G8" s="246">
        <f t="shared" si="0"/>
        <v>292.91914524999993</v>
      </c>
      <c r="H8" s="246">
        <f t="shared" si="0"/>
        <v>279.41860185000002</v>
      </c>
      <c r="I8" s="246">
        <f t="shared" si="0"/>
        <v>278.78796091000009</v>
      </c>
      <c r="J8" s="246">
        <f t="shared" si="0"/>
        <v>276.99442720999997</v>
      </c>
      <c r="K8" s="246">
        <f t="shared" si="0"/>
        <v>262.00344575999998</v>
      </c>
      <c r="L8" s="246">
        <f t="shared" si="0"/>
        <v>273.86877647</v>
      </c>
      <c r="M8" s="246">
        <f t="shared" si="0"/>
        <v>283.97522529999998</v>
      </c>
      <c r="N8" s="271">
        <f t="shared" si="0"/>
        <v>326.69023442999998</v>
      </c>
      <c r="O8" s="271">
        <f>SUM(C8:N8)</f>
        <v>3666.2736793700005</v>
      </c>
      <c r="P8" s="2"/>
    </row>
    <row r="9" spans="2:16" ht="18" customHeight="1">
      <c r="B9" s="272" t="s">
        <v>240</v>
      </c>
      <c r="C9" s="270">
        <f>SUM(C10:C12)</f>
        <v>315.28592924000003</v>
      </c>
      <c r="D9" s="246">
        <f>SUM(D10:D12)</f>
        <v>263.29841727999997</v>
      </c>
      <c r="E9" s="246">
        <f t="shared" ref="E9:N9" si="1">SUM(E10:E12)</f>
        <v>297.85778831000005</v>
      </c>
      <c r="F9" s="246">
        <f t="shared" si="1"/>
        <v>512.66940236000005</v>
      </c>
      <c r="G9" s="246">
        <f t="shared" si="1"/>
        <v>292.17896869999993</v>
      </c>
      <c r="H9" s="246">
        <f t="shared" si="1"/>
        <v>278.50637505000003</v>
      </c>
      <c r="I9" s="246">
        <f t="shared" si="1"/>
        <v>278.0482838800001</v>
      </c>
      <c r="J9" s="246">
        <f t="shared" si="1"/>
        <v>273.63712720999996</v>
      </c>
      <c r="K9" s="246">
        <f t="shared" si="1"/>
        <v>260.42394575999998</v>
      </c>
      <c r="L9" s="246">
        <f t="shared" si="1"/>
        <v>272.44017646999998</v>
      </c>
      <c r="M9" s="246">
        <f t="shared" si="1"/>
        <v>283.75513167000003</v>
      </c>
      <c r="N9" s="271">
        <f t="shared" si="1"/>
        <v>295.01885126999997</v>
      </c>
      <c r="O9" s="271">
        <f>SUM(C9:N9)</f>
        <v>3623.1203972000008</v>
      </c>
      <c r="P9" s="2"/>
    </row>
    <row r="10" spans="2:16">
      <c r="B10" s="265" t="s">
        <v>241</v>
      </c>
      <c r="C10" s="252">
        <v>302.72351728000001</v>
      </c>
      <c r="D10" s="250">
        <v>249.86627761</v>
      </c>
      <c r="E10" s="250">
        <v>279.63105898000003</v>
      </c>
      <c r="F10" s="250">
        <v>505.18781525000003</v>
      </c>
      <c r="G10" s="250">
        <v>275.2804645199999</v>
      </c>
      <c r="H10" s="250">
        <v>267.14365172000004</v>
      </c>
      <c r="I10" s="250">
        <v>269.36704473000009</v>
      </c>
      <c r="J10" s="250">
        <v>265.34368733999997</v>
      </c>
      <c r="K10" s="250">
        <v>250.45896338</v>
      </c>
      <c r="L10" s="250">
        <v>264.30701259</v>
      </c>
      <c r="M10" s="250">
        <v>272.73086060000003</v>
      </c>
      <c r="N10" s="251">
        <v>284.56479273999997</v>
      </c>
      <c r="O10" s="273">
        <f>SUM(C10:N10)</f>
        <v>3486.6051467400002</v>
      </c>
      <c r="P10" s="2"/>
    </row>
    <row r="11" spans="2:16">
      <c r="B11" s="265" t="s">
        <v>242</v>
      </c>
      <c r="C11" s="252">
        <v>12.56241196</v>
      </c>
      <c r="D11" s="250">
        <v>13.432139669999998</v>
      </c>
      <c r="E11" s="250">
        <v>18.226729329999998</v>
      </c>
      <c r="F11" s="250">
        <v>7.4815871100000004</v>
      </c>
      <c r="G11" s="250">
        <v>13.612064699999999</v>
      </c>
      <c r="H11" s="250">
        <v>11.362723329999998</v>
      </c>
      <c r="I11" s="250">
        <v>8.6812391499999997</v>
      </c>
      <c r="J11" s="250">
        <v>8.2934398700000003</v>
      </c>
      <c r="K11" s="250">
        <v>9.9649823800000004</v>
      </c>
      <c r="L11" s="250">
        <v>8.1331638799999997</v>
      </c>
      <c r="M11" s="250">
        <v>11.024271069999999</v>
      </c>
      <c r="N11" s="251">
        <v>10.454058529999999</v>
      </c>
      <c r="O11" s="273">
        <f t="shared" ref="O11:O71" si="2">SUM(C11:N11)</f>
        <v>133.22881097999999</v>
      </c>
      <c r="P11" s="2"/>
    </row>
    <row r="12" spans="2:16">
      <c r="B12" s="265" t="s">
        <v>243</v>
      </c>
      <c r="C12" s="252">
        <v>0</v>
      </c>
      <c r="D12" s="250">
        <v>0</v>
      </c>
      <c r="E12" s="250">
        <v>0</v>
      </c>
      <c r="F12" s="250">
        <v>0</v>
      </c>
      <c r="G12" s="250">
        <v>3.2864394799999999</v>
      </c>
      <c r="H12" s="250">
        <v>0</v>
      </c>
      <c r="I12" s="250">
        <v>0</v>
      </c>
      <c r="J12" s="250">
        <v>0</v>
      </c>
      <c r="K12" s="250">
        <v>0</v>
      </c>
      <c r="L12" s="250">
        <v>0</v>
      </c>
      <c r="M12" s="250">
        <v>0</v>
      </c>
      <c r="N12" s="251">
        <v>0</v>
      </c>
      <c r="O12" s="273">
        <f t="shared" si="2"/>
        <v>3.2864394799999999</v>
      </c>
      <c r="P12" s="2"/>
    </row>
    <row r="13" spans="2:16" ht="18" customHeight="1">
      <c r="B13" s="272" t="s">
        <v>244</v>
      </c>
      <c r="C13" s="244">
        <v>0</v>
      </c>
      <c r="D13" s="245">
        <v>0</v>
      </c>
      <c r="E13" s="245">
        <v>0</v>
      </c>
      <c r="F13" s="245">
        <v>0.10978531</v>
      </c>
      <c r="G13" s="245">
        <v>2.5596549999999999E-2</v>
      </c>
      <c r="H13" s="245">
        <v>0</v>
      </c>
      <c r="I13" s="245">
        <v>0</v>
      </c>
      <c r="J13" s="245">
        <v>0</v>
      </c>
      <c r="K13" s="245">
        <v>0</v>
      </c>
      <c r="L13" s="245">
        <v>0</v>
      </c>
      <c r="M13" s="245">
        <v>4.1936300000000003E-3</v>
      </c>
      <c r="N13" s="247">
        <v>2.3416380000000001E-2</v>
      </c>
      <c r="O13" s="271">
        <f t="shared" si="2"/>
        <v>0.16299186999999998</v>
      </c>
      <c r="P13" s="2"/>
    </row>
    <row r="14" spans="2:16" ht="18" customHeight="1">
      <c r="B14" s="272" t="s">
        <v>245</v>
      </c>
      <c r="C14" s="244">
        <v>0</v>
      </c>
      <c r="D14" s="245">
        <v>0.52913001000000004</v>
      </c>
      <c r="E14" s="245">
        <v>0.64343967999999996</v>
      </c>
      <c r="F14" s="245">
        <v>1.2219700000000002</v>
      </c>
      <c r="G14" s="245">
        <v>0.71457999999999999</v>
      </c>
      <c r="H14" s="245">
        <v>0.9122268</v>
      </c>
      <c r="I14" s="245">
        <v>0.73967702999999996</v>
      </c>
      <c r="J14" s="245">
        <v>3.3573</v>
      </c>
      <c r="K14" s="245">
        <v>1.5794999999999999</v>
      </c>
      <c r="L14" s="245">
        <v>1.4285999999999999</v>
      </c>
      <c r="M14" s="245">
        <v>0.21589999999999998</v>
      </c>
      <c r="N14" s="247">
        <v>31.647966780000001</v>
      </c>
      <c r="O14" s="271">
        <f t="shared" si="2"/>
        <v>42.990290299999998</v>
      </c>
      <c r="P14" s="2"/>
    </row>
    <row r="15" spans="2:16" ht="24.95" customHeight="1">
      <c r="B15" s="25" t="s">
        <v>246</v>
      </c>
      <c r="C15" s="244">
        <f>+C16+C29+C40</f>
        <v>333.41111888999995</v>
      </c>
      <c r="D15" s="245">
        <f>+D16+D29+D40</f>
        <v>325.58893458</v>
      </c>
      <c r="E15" s="245">
        <f t="shared" ref="E15:N15" si="3">+E16+E29+E40</f>
        <v>362.87027961000001</v>
      </c>
      <c r="F15" s="245">
        <f t="shared" si="3"/>
        <v>328.91346078999993</v>
      </c>
      <c r="G15" s="245">
        <f t="shared" si="3"/>
        <v>359.88895325000004</v>
      </c>
      <c r="H15" s="245">
        <f t="shared" si="3"/>
        <v>393.40744293000006</v>
      </c>
      <c r="I15" s="245">
        <f t="shared" si="3"/>
        <v>462.826616</v>
      </c>
      <c r="J15" s="245">
        <f t="shared" si="3"/>
        <v>296.98420555999996</v>
      </c>
      <c r="K15" s="245">
        <f t="shared" si="3"/>
        <v>280.75316570000001</v>
      </c>
      <c r="L15" s="245">
        <f t="shared" si="3"/>
        <v>315.47070284000006</v>
      </c>
      <c r="M15" s="245">
        <f t="shared" si="3"/>
        <v>329.68186175000005</v>
      </c>
      <c r="N15" s="247">
        <f t="shared" si="3"/>
        <v>443.98328328999997</v>
      </c>
      <c r="O15" s="271">
        <f t="shared" si="2"/>
        <v>4233.7800251899998</v>
      </c>
      <c r="P15" s="2"/>
    </row>
    <row r="16" spans="2:16" ht="18" customHeight="1">
      <c r="B16" s="272" t="s">
        <v>247</v>
      </c>
      <c r="C16" s="244">
        <f>SUM(C17:C20)</f>
        <v>293.05108301999996</v>
      </c>
      <c r="D16" s="245">
        <f>SUM(D17:D20)</f>
        <v>258.81959105999999</v>
      </c>
      <c r="E16" s="245">
        <f t="shared" ref="E16:N16" si="4">SUM(E17:E20)</f>
        <v>306.11741429</v>
      </c>
      <c r="F16" s="245">
        <f t="shared" si="4"/>
        <v>280.04121423999993</v>
      </c>
      <c r="G16" s="245">
        <f t="shared" si="4"/>
        <v>307.92861642000003</v>
      </c>
      <c r="H16" s="245">
        <f t="shared" si="4"/>
        <v>349.01251859000001</v>
      </c>
      <c r="I16" s="245">
        <f t="shared" si="4"/>
        <v>365.73352938000005</v>
      </c>
      <c r="J16" s="245">
        <f t="shared" si="4"/>
        <v>252.76506131999997</v>
      </c>
      <c r="K16" s="245">
        <f t="shared" si="4"/>
        <v>231.23841634999999</v>
      </c>
      <c r="L16" s="245">
        <f t="shared" si="4"/>
        <v>275.29029198000006</v>
      </c>
      <c r="M16" s="245">
        <f t="shared" si="4"/>
        <v>270.29120008000007</v>
      </c>
      <c r="N16" s="247">
        <f t="shared" si="4"/>
        <v>388.30189544999996</v>
      </c>
      <c r="O16" s="271">
        <f t="shared" si="2"/>
        <v>3578.5908321799998</v>
      </c>
      <c r="P16" s="2"/>
    </row>
    <row r="17" spans="2:17">
      <c r="B17" s="265" t="s">
        <v>136</v>
      </c>
      <c r="C17" s="252">
        <v>96.253361920000003</v>
      </c>
      <c r="D17" s="250">
        <v>99.144857259999995</v>
      </c>
      <c r="E17" s="250">
        <v>98.991917799999996</v>
      </c>
      <c r="F17" s="250">
        <v>98.091179499999996</v>
      </c>
      <c r="G17" s="250">
        <v>98.087444290000008</v>
      </c>
      <c r="H17" s="250">
        <v>109.78352035</v>
      </c>
      <c r="I17" s="250">
        <v>105.29892756</v>
      </c>
      <c r="J17" s="250">
        <v>100.80459534000001</v>
      </c>
      <c r="K17" s="250">
        <v>102.52212347</v>
      </c>
      <c r="L17" s="250">
        <v>100.82954189</v>
      </c>
      <c r="M17" s="250">
        <v>101.87304285</v>
      </c>
      <c r="N17" s="251">
        <v>160.65870734000001</v>
      </c>
      <c r="O17" s="273">
        <f t="shared" si="2"/>
        <v>1272.3392195700001</v>
      </c>
      <c r="P17" s="2"/>
    </row>
    <row r="18" spans="2:17">
      <c r="B18" s="265" t="s">
        <v>248</v>
      </c>
      <c r="C18" s="252">
        <v>35.032388210000001</v>
      </c>
      <c r="D18" s="250">
        <v>34.951574210000004</v>
      </c>
      <c r="E18" s="250">
        <v>52.819661180000004</v>
      </c>
      <c r="F18" s="250">
        <v>34.195662740000003</v>
      </c>
      <c r="G18" s="250">
        <v>39.027214949999994</v>
      </c>
      <c r="H18" s="250">
        <v>56.422989450000003</v>
      </c>
      <c r="I18" s="250">
        <v>37.457926119999996</v>
      </c>
      <c r="J18" s="250">
        <v>32.997970249999995</v>
      </c>
      <c r="K18" s="250">
        <v>24.773637119999997</v>
      </c>
      <c r="L18" s="250">
        <v>37.470641130000004</v>
      </c>
      <c r="M18" s="250">
        <v>39.519890770000003</v>
      </c>
      <c r="N18" s="251">
        <v>42.536118250000001</v>
      </c>
      <c r="O18" s="273">
        <f t="shared" si="2"/>
        <v>467.20567438</v>
      </c>
      <c r="P18" s="2"/>
    </row>
    <row r="19" spans="2:17">
      <c r="B19" s="265" t="s">
        <v>249</v>
      </c>
      <c r="C19" s="252">
        <v>72.994014679999992</v>
      </c>
      <c r="D19" s="250">
        <v>18.283229340000002</v>
      </c>
      <c r="E19" s="250">
        <v>25.584325550000003</v>
      </c>
      <c r="F19" s="250">
        <v>35.011160959999998</v>
      </c>
      <c r="G19" s="250">
        <v>23.60581431</v>
      </c>
      <c r="H19" s="250">
        <v>66.425764450000003</v>
      </c>
      <c r="I19" s="250">
        <v>95.646527060000011</v>
      </c>
      <c r="J19" s="250">
        <v>24.635521159999996</v>
      </c>
      <c r="K19" s="250">
        <v>25.116740629999999</v>
      </c>
      <c r="L19" s="250">
        <v>35.553895390000001</v>
      </c>
      <c r="M19" s="250">
        <v>23.506746630000002</v>
      </c>
      <c r="N19" s="251">
        <v>56.489929979999999</v>
      </c>
      <c r="O19" s="273">
        <f t="shared" si="2"/>
        <v>502.85367014000002</v>
      </c>
      <c r="P19" s="2"/>
    </row>
    <row r="20" spans="2:17">
      <c r="B20" s="265" t="s">
        <v>250</v>
      </c>
      <c r="C20" s="252">
        <f>SUM(C21:C28)</f>
        <v>88.771318210000004</v>
      </c>
      <c r="D20" s="250">
        <f>SUM(D21:D28)</f>
        <v>106.43993024999997</v>
      </c>
      <c r="E20" s="250">
        <f t="shared" ref="E20:N20" si="5">SUM(E21:E28)</f>
        <v>128.72150976</v>
      </c>
      <c r="F20" s="250">
        <f t="shared" si="5"/>
        <v>112.74321103999998</v>
      </c>
      <c r="G20" s="250">
        <f t="shared" si="5"/>
        <v>147.20814286999999</v>
      </c>
      <c r="H20" s="250">
        <f t="shared" si="5"/>
        <v>116.38024434</v>
      </c>
      <c r="I20" s="250">
        <f t="shared" si="5"/>
        <v>127.33014864</v>
      </c>
      <c r="J20" s="250">
        <f t="shared" si="5"/>
        <v>94.32697456999999</v>
      </c>
      <c r="K20" s="250">
        <f t="shared" si="5"/>
        <v>78.825915129999998</v>
      </c>
      <c r="L20" s="250">
        <f t="shared" si="5"/>
        <v>101.43621357000002</v>
      </c>
      <c r="M20" s="250">
        <f t="shared" si="5"/>
        <v>105.39151983000002</v>
      </c>
      <c r="N20" s="251">
        <f t="shared" si="5"/>
        <v>128.61713988</v>
      </c>
      <c r="O20" s="273">
        <f t="shared" si="2"/>
        <v>1336.19226809</v>
      </c>
      <c r="P20" s="2"/>
      <c r="Q20" s="9"/>
    </row>
    <row r="21" spans="2:17">
      <c r="B21" s="274" t="s">
        <v>251</v>
      </c>
      <c r="C21" s="252">
        <v>34.276077569999998</v>
      </c>
      <c r="D21" s="250">
        <v>40.093400949999982</v>
      </c>
      <c r="E21" s="250">
        <v>44.707057279999994</v>
      </c>
      <c r="F21" s="250">
        <v>42.972212409999997</v>
      </c>
      <c r="G21" s="250">
        <v>41.863965460000003</v>
      </c>
      <c r="H21" s="250">
        <v>42.397734779999993</v>
      </c>
      <c r="I21" s="250">
        <v>41.856809609999992</v>
      </c>
      <c r="J21" s="250">
        <v>38.86069126999999</v>
      </c>
      <c r="K21" s="250">
        <v>39.241536490000001</v>
      </c>
      <c r="L21" s="250">
        <v>41.252460939999999</v>
      </c>
      <c r="M21" s="250">
        <v>44.273820800000003</v>
      </c>
      <c r="N21" s="251">
        <v>62.000755019999993</v>
      </c>
      <c r="O21" s="273">
        <f t="shared" si="2"/>
        <v>513.79652257999999</v>
      </c>
      <c r="P21" s="2"/>
      <c r="Q21" s="9"/>
    </row>
    <row r="22" spans="2:17">
      <c r="B22" s="274" t="s">
        <v>252</v>
      </c>
      <c r="C22" s="252">
        <v>3.3465000000000002E-2</v>
      </c>
      <c r="D22" s="250">
        <v>3.3465000000000002E-2</v>
      </c>
      <c r="E22" s="250">
        <v>3.3494999999999997E-2</v>
      </c>
      <c r="F22" s="250">
        <v>3.3474999999999998E-2</v>
      </c>
      <c r="G22" s="250">
        <v>3.3474999999999998E-2</v>
      </c>
      <c r="H22" s="250">
        <v>3.3474999999999998E-2</v>
      </c>
      <c r="I22" s="250">
        <v>3.3474999999999998E-2</v>
      </c>
      <c r="J22" s="250">
        <v>3.3474999999999998E-2</v>
      </c>
      <c r="K22" s="250">
        <v>3.3474999999999998E-2</v>
      </c>
      <c r="L22" s="250">
        <v>3.3474999999999998E-2</v>
      </c>
      <c r="M22" s="250">
        <v>3.3474999999999998E-2</v>
      </c>
      <c r="N22" s="251">
        <v>3.3454999999999999E-2</v>
      </c>
      <c r="O22" s="273">
        <f t="shared" si="2"/>
        <v>0.40167999999999993</v>
      </c>
      <c r="P22" s="2"/>
      <c r="Q22" s="9"/>
    </row>
    <row r="23" spans="2:17">
      <c r="B23" s="274" t="s">
        <v>253</v>
      </c>
      <c r="C23" s="252">
        <v>0.2973402</v>
      </c>
      <c r="D23" s="250">
        <v>0.29402576999999996</v>
      </c>
      <c r="E23" s="250">
        <v>0.4664587</v>
      </c>
      <c r="F23" s="250">
        <v>0.29359238999999998</v>
      </c>
      <c r="G23" s="250">
        <v>0.36849708999999997</v>
      </c>
      <c r="H23" s="250">
        <v>0.52454962000000005</v>
      </c>
      <c r="I23" s="250">
        <v>1.2264393999999998</v>
      </c>
      <c r="J23" s="250">
        <v>0.13758999999999999</v>
      </c>
      <c r="K23" s="250">
        <v>0.23759</v>
      </c>
      <c r="L23" s="250">
        <v>0.28759000000000001</v>
      </c>
      <c r="M23" s="250">
        <v>0.89397523000000001</v>
      </c>
      <c r="N23" s="251">
        <v>0.28270571</v>
      </c>
      <c r="O23" s="273">
        <f t="shared" si="2"/>
        <v>5.3103541099999996</v>
      </c>
      <c r="P23" s="2"/>
      <c r="Q23" s="9"/>
    </row>
    <row r="24" spans="2:17">
      <c r="B24" s="274" t="s">
        <v>254</v>
      </c>
      <c r="C24" s="252">
        <v>53.293115440000001</v>
      </c>
      <c r="D24" s="250">
        <v>64.939866629999997</v>
      </c>
      <c r="E24" s="250">
        <v>82.640919599999989</v>
      </c>
      <c r="F24" s="250">
        <v>68.500351269999982</v>
      </c>
      <c r="G24" s="250">
        <v>102.72574362</v>
      </c>
      <c r="H24" s="250">
        <v>72.834348210000002</v>
      </c>
      <c r="I24" s="250">
        <v>83.736386400000001</v>
      </c>
      <c r="J24" s="250">
        <v>54.45752117</v>
      </c>
      <c r="K24" s="250">
        <v>38.843833430000004</v>
      </c>
      <c r="L24" s="250">
        <v>59.393607630000005</v>
      </c>
      <c r="M24" s="250">
        <v>59.081484790000012</v>
      </c>
      <c r="N24" s="251">
        <v>65.049557660000005</v>
      </c>
      <c r="O24" s="273">
        <f t="shared" si="2"/>
        <v>805.49673584999994</v>
      </c>
      <c r="P24" s="2"/>
      <c r="Q24" s="9"/>
    </row>
    <row r="25" spans="2:17">
      <c r="B25" s="274" t="s">
        <v>255</v>
      </c>
      <c r="C25" s="252">
        <v>0.53300000000000003</v>
      </c>
      <c r="D25" s="250">
        <v>0.77142129999999998</v>
      </c>
      <c r="E25" s="250">
        <v>0.56223977999999997</v>
      </c>
      <c r="F25" s="250">
        <v>0.64693997000000003</v>
      </c>
      <c r="G25" s="250">
        <v>1.8868947</v>
      </c>
      <c r="H25" s="250">
        <v>0.23554773000000001</v>
      </c>
      <c r="I25" s="250">
        <v>8.6723229999999998E-2</v>
      </c>
      <c r="J25" s="250">
        <v>0.53363512999999996</v>
      </c>
      <c r="K25" s="250">
        <v>0.11857921000000005</v>
      </c>
      <c r="L25" s="250">
        <v>0.125</v>
      </c>
      <c r="M25" s="250">
        <v>0.79223401000000004</v>
      </c>
      <c r="N25" s="251">
        <v>0.92781195999999999</v>
      </c>
      <c r="O25" s="273">
        <f t="shared" si="2"/>
        <v>7.2200270199999999</v>
      </c>
      <c r="P25" s="2"/>
      <c r="Q25" s="9"/>
    </row>
    <row r="26" spans="2:17">
      <c r="B26" s="274" t="s">
        <v>256</v>
      </c>
      <c r="C26" s="252">
        <v>0.33832000000000001</v>
      </c>
      <c r="D26" s="250">
        <v>0.30775059999999999</v>
      </c>
      <c r="E26" s="250">
        <v>0.31133939999999999</v>
      </c>
      <c r="F26" s="250">
        <v>0.29664000000000001</v>
      </c>
      <c r="G26" s="250">
        <v>0.329567</v>
      </c>
      <c r="H26" s="250">
        <v>0.35458899999999999</v>
      </c>
      <c r="I26" s="250">
        <v>0.39031500000000002</v>
      </c>
      <c r="J26" s="250">
        <v>0.304062</v>
      </c>
      <c r="K26" s="250">
        <v>0.35090100000000002</v>
      </c>
      <c r="L26" s="250">
        <v>0.34408</v>
      </c>
      <c r="M26" s="250">
        <v>0.31652999999999998</v>
      </c>
      <c r="N26" s="251">
        <v>0.32285453000000003</v>
      </c>
      <c r="O26" s="273">
        <f t="shared" si="2"/>
        <v>3.9669485299999998</v>
      </c>
      <c r="P26" s="2"/>
      <c r="Q26" s="9"/>
    </row>
    <row r="27" spans="2:17">
      <c r="B27" s="274" t="s">
        <v>257</v>
      </c>
      <c r="C27" s="252">
        <v>0</v>
      </c>
      <c r="D27" s="250">
        <v>0</v>
      </c>
      <c r="E27" s="250">
        <v>0</v>
      </c>
      <c r="F27" s="250">
        <v>0</v>
      </c>
      <c r="G27" s="250">
        <v>0</v>
      </c>
      <c r="H27" s="250">
        <v>0</v>
      </c>
      <c r="I27" s="250">
        <v>0</v>
      </c>
      <c r="J27" s="250">
        <v>0</v>
      </c>
      <c r="K27" s="250">
        <v>0</v>
      </c>
      <c r="L27" s="250">
        <v>0</v>
      </c>
      <c r="M27" s="250">
        <v>0</v>
      </c>
      <c r="N27" s="251">
        <v>0</v>
      </c>
      <c r="O27" s="273">
        <f t="shared" si="2"/>
        <v>0</v>
      </c>
      <c r="P27" s="2"/>
      <c r="Q27" s="9"/>
    </row>
    <row r="28" spans="2:17">
      <c r="B28" s="274" t="s">
        <v>258</v>
      </c>
      <c r="C28" s="252">
        <v>0</v>
      </c>
      <c r="D28" s="250">
        <v>0</v>
      </c>
      <c r="E28" s="250">
        <v>0</v>
      </c>
      <c r="F28" s="250">
        <v>0</v>
      </c>
      <c r="G28" s="250">
        <v>0</v>
      </c>
      <c r="H28" s="250">
        <v>0</v>
      </c>
      <c r="I28" s="250">
        <v>0</v>
      </c>
      <c r="J28" s="250">
        <v>0</v>
      </c>
      <c r="K28" s="250">
        <v>0</v>
      </c>
      <c r="L28" s="250">
        <v>0</v>
      </c>
      <c r="M28" s="250">
        <v>0</v>
      </c>
      <c r="N28" s="251">
        <v>0</v>
      </c>
      <c r="O28" s="273">
        <f t="shared" si="2"/>
        <v>0</v>
      </c>
      <c r="P28" s="2"/>
      <c r="Q28" s="9"/>
    </row>
    <row r="29" spans="2:17" ht="18" customHeight="1">
      <c r="B29" s="272" t="s">
        <v>259</v>
      </c>
      <c r="C29" s="244">
        <f>SUM(C30:C31)</f>
        <v>40.569082870000003</v>
      </c>
      <c r="D29" s="245">
        <f>SUM(D30:D31)</f>
        <v>66.769343520000007</v>
      </c>
      <c r="E29" s="245">
        <f t="shared" ref="E29:N29" si="6">SUM(E30:E31)</f>
        <v>56.752865319999998</v>
      </c>
      <c r="F29" s="245">
        <f t="shared" si="6"/>
        <v>51.141876550000006</v>
      </c>
      <c r="G29" s="245">
        <f t="shared" si="6"/>
        <v>52.031515049999996</v>
      </c>
      <c r="H29" s="245">
        <f t="shared" si="6"/>
        <v>45.191469630000007</v>
      </c>
      <c r="I29" s="245">
        <f t="shared" si="6"/>
        <v>97.302134229999993</v>
      </c>
      <c r="J29" s="245">
        <f t="shared" si="6"/>
        <v>44.219144240000006</v>
      </c>
      <c r="K29" s="245">
        <f t="shared" si="6"/>
        <v>49.514749350000002</v>
      </c>
      <c r="L29" s="245">
        <f t="shared" si="6"/>
        <v>42.514890860000001</v>
      </c>
      <c r="M29" s="245">
        <f t="shared" si="6"/>
        <v>59.39066167</v>
      </c>
      <c r="N29" s="247">
        <f t="shared" si="6"/>
        <v>56.436596780000002</v>
      </c>
      <c r="O29" s="271">
        <f t="shared" si="2"/>
        <v>661.83433007000008</v>
      </c>
      <c r="P29" s="2"/>
      <c r="Q29" s="9"/>
    </row>
    <row r="30" spans="2:17">
      <c r="B30" s="265" t="s">
        <v>260</v>
      </c>
      <c r="C30" s="252">
        <v>10.324264579999999</v>
      </c>
      <c r="D30" s="250">
        <v>13.875710460000001</v>
      </c>
      <c r="E30" s="250">
        <v>16.888578379999998</v>
      </c>
      <c r="F30" s="250">
        <v>14.496637140000002</v>
      </c>
      <c r="G30" s="250">
        <v>18.725666009999998</v>
      </c>
      <c r="H30" s="250">
        <v>11.41125882</v>
      </c>
      <c r="I30" s="250">
        <v>14.280586509999997</v>
      </c>
      <c r="J30" s="250">
        <v>10.443531010000001</v>
      </c>
      <c r="K30" s="250">
        <v>16.134018990000001</v>
      </c>
      <c r="L30" s="250">
        <v>13.010839209999999</v>
      </c>
      <c r="M30" s="250">
        <v>21.17120092</v>
      </c>
      <c r="N30" s="251">
        <v>21.127966050000001</v>
      </c>
      <c r="O30" s="273">
        <f t="shared" si="2"/>
        <v>181.89025807999997</v>
      </c>
      <c r="P30" s="2"/>
      <c r="Q30" s="9"/>
    </row>
    <row r="31" spans="2:17">
      <c r="B31" s="265" t="s">
        <v>261</v>
      </c>
      <c r="C31" s="252">
        <f>SUM(C32:C39)</f>
        <v>30.244818290000001</v>
      </c>
      <c r="D31" s="250">
        <f>SUM(D32:D39)</f>
        <v>52.893633059999999</v>
      </c>
      <c r="E31" s="250">
        <f t="shared" ref="E31:N31" si="7">SUM(E32:E39)</f>
        <v>39.86428694</v>
      </c>
      <c r="F31" s="250">
        <f t="shared" si="7"/>
        <v>36.645239410000002</v>
      </c>
      <c r="G31" s="250">
        <f t="shared" si="7"/>
        <v>33.305849039999998</v>
      </c>
      <c r="H31" s="250">
        <f t="shared" si="7"/>
        <v>33.780210810000007</v>
      </c>
      <c r="I31" s="250">
        <f t="shared" si="7"/>
        <v>83.021547720000001</v>
      </c>
      <c r="J31" s="250">
        <f t="shared" si="7"/>
        <v>33.775613230000005</v>
      </c>
      <c r="K31" s="250">
        <f t="shared" si="7"/>
        <v>33.380730360000001</v>
      </c>
      <c r="L31" s="250">
        <f t="shared" si="7"/>
        <v>29.504051650000001</v>
      </c>
      <c r="M31" s="250">
        <f t="shared" si="7"/>
        <v>38.219460750000003</v>
      </c>
      <c r="N31" s="251">
        <f t="shared" si="7"/>
        <v>35.308630729999997</v>
      </c>
      <c r="O31" s="273">
        <f t="shared" si="2"/>
        <v>479.94407199</v>
      </c>
      <c r="P31" s="2"/>
      <c r="Q31" s="9"/>
    </row>
    <row r="32" spans="2:17">
      <c r="B32" s="274" t="s">
        <v>251</v>
      </c>
      <c r="C32" s="252">
        <v>20.708786530000001</v>
      </c>
      <c r="D32" s="250">
        <v>20.31711249</v>
      </c>
      <c r="E32" s="250">
        <v>20.124613160000003</v>
      </c>
      <c r="F32" s="250">
        <v>20.126268930000002</v>
      </c>
      <c r="G32" s="250">
        <v>19.86576707</v>
      </c>
      <c r="H32" s="250">
        <v>20.014250410000002</v>
      </c>
      <c r="I32" s="250">
        <v>53.880049089999993</v>
      </c>
      <c r="J32" s="250">
        <v>20.096395830000002</v>
      </c>
      <c r="K32" s="250">
        <v>19.882268750000001</v>
      </c>
      <c r="L32" s="250">
        <v>19.877142250000002</v>
      </c>
      <c r="M32" s="250">
        <v>19.859238000000001</v>
      </c>
      <c r="N32" s="251">
        <v>19.92593025</v>
      </c>
      <c r="O32" s="273">
        <f t="shared" si="2"/>
        <v>274.67782276000003</v>
      </c>
      <c r="P32" s="2"/>
      <c r="Q32" s="9"/>
    </row>
    <row r="33" spans="2:17">
      <c r="B33" s="274" t="s">
        <v>252</v>
      </c>
      <c r="C33" s="252">
        <v>0</v>
      </c>
      <c r="D33" s="250">
        <v>3.2878255899999997</v>
      </c>
      <c r="E33" s="250">
        <v>2.8029809999999999</v>
      </c>
      <c r="F33" s="250">
        <v>0</v>
      </c>
      <c r="G33" s="250">
        <v>3.6360000000000001</v>
      </c>
      <c r="H33" s="250">
        <v>0</v>
      </c>
      <c r="I33" s="250">
        <v>8.4290181100000012</v>
      </c>
      <c r="J33" s="250">
        <v>0</v>
      </c>
      <c r="K33" s="250">
        <v>0.82542800000000005</v>
      </c>
      <c r="L33" s="250">
        <v>0.38778499999999999</v>
      </c>
      <c r="M33" s="250">
        <v>5.3437191500000001</v>
      </c>
      <c r="N33" s="251">
        <v>4.5417529999999999</v>
      </c>
      <c r="O33" s="273">
        <f t="shared" si="2"/>
        <v>29.254509849999998</v>
      </c>
      <c r="P33" s="2"/>
      <c r="Q33" s="9"/>
    </row>
    <row r="34" spans="2:17">
      <c r="B34" s="274" t="s">
        <v>253</v>
      </c>
      <c r="C34" s="252">
        <v>0</v>
      </c>
      <c r="D34" s="250">
        <v>0</v>
      </c>
      <c r="E34" s="250">
        <v>0</v>
      </c>
      <c r="F34" s="250">
        <v>0</v>
      </c>
      <c r="G34" s="250">
        <v>0</v>
      </c>
      <c r="H34" s="250">
        <v>0</v>
      </c>
      <c r="I34" s="250">
        <v>0</v>
      </c>
      <c r="J34" s="250">
        <v>1.08840757</v>
      </c>
      <c r="K34" s="250">
        <v>0</v>
      </c>
      <c r="L34" s="250">
        <v>0</v>
      </c>
      <c r="M34" s="250">
        <v>0</v>
      </c>
      <c r="N34" s="251">
        <v>0</v>
      </c>
      <c r="O34" s="273">
        <f t="shared" si="2"/>
        <v>1.08840757</v>
      </c>
      <c r="P34" s="2"/>
      <c r="Q34" s="9"/>
    </row>
    <row r="35" spans="2:17">
      <c r="B35" s="274" t="s">
        <v>262</v>
      </c>
      <c r="C35" s="252">
        <v>2.29517792</v>
      </c>
      <c r="D35" s="250">
        <v>0.41993976</v>
      </c>
      <c r="E35" s="250">
        <v>1.75555244</v>
      </c>
      <c r="F35" s="250">
        <v>7.2064505499999996</v>
      </c>
      <c r="G35" s="250">
        <v>2.3253432200000002</v>
      </c>
      <c r="H35" s="250">
        <v>4.7425628</v>
      </c>
      <c r="I35" s="250">
        <v>1.4144668</v>
      </c>
      <c r="J35" s="250">
        <v>2.7051013699999999</v>
      </c>
      <c r="K35" s="250">
        <v>2.2996871300000001</v>
      </c>
      <c r="L35" s="250">
        <v>2.1579480699999998</v>
      </c>
      <c r="M35" s="250">
        <v>2.6238181599999999</v>
      </c>
      <c r="N35" s="251">
        <v>2.9270181200000001</v>
      </c>
      <c r="O35" s="273">
        <f t="shared" si="2"/>
        <v>32.873066340000001</v>
      </c>
      <c r="P35" s="2"/>
      <c r="Q35" s="9"/>
    </row>
    <row r="36" spans="2:17">
      <c r="B36" s="274" t="s">
        <v>263</v>
      </c>
      <c r="C36" s="252">
        <v>0.79148492000000004</v>
      </c>
      <c r="D36" s="250">
        <v>22.950005170000001</v>
      </c>
      <c r="E36" s="250">
        <v>1.2191615099999999</v>
      </c>
      <c r="F36" s="250">
        <v>0.60608437999999998</v>
      </c>
      <c r="G36" s="250">
        <v>0.70751646999999995</v>
      </c>
      <c r="H36" s="250">
        <v>0.94784721999999999</v>
      </c>
      <c r="I36" s="250">
        <v>9.9953768500000013</v>
      </c>
      <c r="J36" s="250">
        <v>3.8939842999999996</v>
      </c>
      <c r="K36" s="250">
        <v>2.5555924799999996</v>
      </c>
      <c r="L36" s="250">
        <v>0.65948885999999984</v>
      </c>
      <c r="M36" s="250">
        <v>1.4885077600000001</v>
      </c>
      <c r="N36" s="251">
        <v>1.4430260100000001</v>
      </c>
      <c r="O36" s="273">
        <f t="shared" si="2"/>
        <v>47.258075929999997</v>
      </c>
      <c r="P36" s="2"/>
      <c r="Q36" s="9"/>
    </row>
    <row r="37" spans="2:17">
      <c r="B37" s="274" t="s">
        <v>264</v>
      </c>
      <c r="C37" s="252">
        <v>0</v>
      </c>
      <c r="D37" s="250">
        <v>1.4674430000000001</v>
      </c>
      <c r="E37" s="250">
        <v>1.9634670000000001</v>
      </c>
      <c r="F37" s="250">
        <v>1.9634670000000001</v>
      </c>
      <c r="G37" s="250">
        <v>0</v>
      </c>
      <c r="H37" s="250">
        <v>1.9634670000000001</v>
      </c>
      <c r="I37" s="250">
        <v>1.9942070000000001</v>
      </c>
      <c r="J37" s="250">
        <v>0</v>
      </c>
      <c r="K37" s="250">
        <v>1.9884140000000001</v>
      </c>
      <c r="L37" s="250">
        <v>0.5</v>
      </c>
      <c r="M37" s="250">
        <v>1.5893406699999999</v>
      </c>
      <c r="N37" s="251">
        <v>1.5893406699999999</v>
      </c>
      <c r="O37" s="273">
        <f t="shared" si="2"/>
        <v>15.019146340000001</v>
      </c>
      <c r="P37" s="2"/>
      <c r="Q37" s="9"/>
    </row>
    <row r="38" spans="2:17">
      <c r="B38" s="274" t="s">
        <v>265</v>
      </c>
      <c r="C38" s="252">
        <v>0</v>
      </c>
      <c r="D38" s="250">
        <v>0</v>
      </c>
      <c r="E38" s="250">
        <v>0</v>
      </c>
      <c r="F38" s="250">
        <v>0</v>
      </c>
      <c r="G38" s="250">
        <v>0</v>
      </c>
      <c r="H38" s="250">
        <v>0</v>
      </c>
      <c r="I38" s="250">
        <v>0</v>
      </c>
      <c r="J38" s="250">
        <v>0</v>
      </c>
      <c r="K38" s="250">
        <v>0</v>
      </c>
      <c r="L38" s="250">
        <v>0</v>
      </c>
      <c r="M38" s="250">
        <v>0</v>
      </c>
      <c r="N38" s="251">
        <v>0</v>
      </c>
      <c r="O38" s="273">
        <f t="shared" si="2"/>
        <v>0</v>
      </c>
      <c r="P38" s="2"/>
      <c r="Q38" s="9"/>
    </row>
    <row r="39" spans="2:17">
      <c r="B39" s="274" t="s">
        <v>266</v>
      </c>
      <c r="C39" s="252">
        <v>6.4493689200000004</v>
      </c>
      <c r="D39" s="250">
        <v>4.4513070499999996</v>
      </c>
      <c r="E39" s="250">
        <v>11.99851183</v>
      </c>
      <c r="F39" s="250">
        <v>6.7429685500000005</v>
      </c>
      <c r="G39" s="250">
        <v>6.7712222799999999</v>
      </c>
      <c r="H39" s="250">
        <v>6.1120833800000005</v>
      </c>
      <c r="I39" s="250">
        <v>7.3084298699999994</v>
      </c>
      <c r="J39" s="250">
        <v>5.9917241599999995</v>
      </c>
      <c r="K39" s="250">
        <v>5.8293400000000002</v>
      </c>
      <c r="L39" s="250">
        <v>5.9216874699999993</v>
      </c>
      <c r="M39" s="250">
        <v>7.3148370099999998</v>
      </c>
      <c r="N39" s="251">
        <v>4.88156268</v>
      </c>
      <c r="O39" s="273">
        <f t="shared" si="2"/>
        <v>79.773043200000004</v>
      </c>
      <c r="P39" s="2"/>
      <c r="Q39" s="9"/>
    </row>
    <row r="40" spans="2:17" ht="18" customHeight="1">
      <c r="B40" s="275" t="s">
        <v>267</v>
      </c>
      <c r="C40" s="257">
        <f>SUM(C41:C45)</f>
        <v>-0.20904700000000001</v>
      </c>
      <c r="D40" s="258">
        <f>SUM(D41:D45)</f>
        <v>0</v>
      </c>
      <c r="E40" s="258">
        <f t="shared" ref="E40:N40" si="8">SUM(E41:E45)</f>
        <v>0</v>
      </c>
      <c r="F40" s="258">
        <f t="shared" si="8"/>
        <v>-2.2696299999999998</v>
      </c>
      <c r="G40" s="258">
        <f t="shared" si="8"/>
        <v>-7.117822E-2</v>
      </c>
      <c r="H40" s="258">
        <f t="shared" si="8"/>
        <v>-0.79654528999999996</v>
      </c>
      <c r="I40" s="258">
        <f t="shared" si="8"/>
        <v>-0.20904760999999999</v>
      </c>
      <c r="J40" s="258">
        <f t="shared" si="8"/>
        <v>0</v>
      </c>
      <c r="K40" s="258">
        <f t="shared" si="8"/>
        <v>0</v>
      </c>
      <c r="L40" s="258">
        <f t="shared" si="8"/>
        <v>-2.3344800000000001</v>
      </c>
      <c r="M40" s="258">
        <f t="shared" si="8"/>
        <v>0</v>
      </c>
      <c r="N40" s="259">
        <f t="shared" si="8"/>
        <v>-0.75520894000000005</v>
      </c>
      <c r="O40" s="276">
        <f t="shared" si="2"/>
        <v>-6.6451370600000006</v>
      </c>
      <c r="P40" s="2"/>
      <c r="Q40" s="9"/>
    </row>
    <row r="41" spans="2:17" hidden="1">
      <c r="B41" s="265" t="s">
        <v>251</v>
      </c>
      <c r="C41" s="252">
        <v>-0.20904700000000001</v>
      </c>
      <c r="D41" s="250">
        <v>0</v>
      </c>
      <c r="E41" s="250">
        <v>0</v>
      </c>
      <c r="F41" s="250">
        <v>-2.2696299999999998</v>
      </c>
      <c r="G41" s="250">
        <v>0</v>
      </c>
      <c r="H41" s="250">
        <v>0</v>
      </c>
      <c r="I41" s="250">
        <v>-0.20904760999999999</v>
      </c>
      <c r="J41" s="250">
        <v>0</v>
      </c>
      <c r="K41" s="250">
        <v>0</v>
      </c>
      <c r="L41" s="250">
        <v>-2.3344800000000001</v>
      </c>
      <c r="M41" s="250">
        <v>0</v>
      </c>
      <c r="N41" s="251">
        <v>-0.2161592</v>
      </c>
      <c r="O41" s="273">
        <f t="shared" si="2"/>
        <v>-5.2383638099999992</v>
      </c>
      <c r="P41" s="2"/>
      <c r="Q41" s="9"/>
    </row>
    <row r="42" spans="2:17" hidden="1">
      <c r="B42" s="265" t="s">
        <v>252</v>
      </c>
      <c r="C42" s="252">
        <v>0</v>
      </c>
      <c r="D42" s="250">
        <v>0</v>
      </c>
      <c r="E42" s="250">
        <v>0</v>
      </c>
      <c r="F42" s="250">
        <v>0</v>
      </c>
      <c r="G42" s="250">
        <v>0</v>
      </c>
      <c r="H42" s="250">
        <v>-0.57405739</v>
      </c>
      <c r="I42" s="250">
        <v>0</v>
      </c>
      <c r="J42" s="250">
        <v>0</v>
      </c>
      <c r="K42" s="250">
        <v>0</v>
      </c>
      <c r="L42" s="250">
        <v>0</v>
      </c>
      <c r="M42" s="250">
        <v>0</v>
      </c>
      <c r="N42" s="251">
        <v>-0.53904974000000005</v>
      </c>
      <c r="O42" s="273">
        <f t="shared" si="2"/>
        <v>-1.1131071299999999</v>
      </c>
      <c r="P42" s="2"/>
      <c r="Q42" s="9"/>
    </row>
    <row r="43" spans="2:17" hidden="1">
      <c r="B43" s="265" t="s">
        <v>253</v>
      </c>
      <c r="C43" s="252"/>
      <c r="D43" s="250"/>
      <c r="E43" s="250"/>
      <c r="F43" s="250"/>
      <c r="G43" s="250"/>
      <c r="H43" s="250"/>
      <c r="I43" s="250"/>
      <c r="J43" s="250"/>
      <c r="K43" s="250"/>
      <c r="L43" s="250"/>
      <c r="M43" s="250"/>
      <c r="N43" s="251"/>
      <c r="O43" s="273">
        <f t="shared" si="2"/>
        <v>0</v>
      </c>
      <c r="P43" s="2"/>
      <c r="Q43" s="9"/>
    </row>
    <row r="44" spans="2:17" hidden="1">
      <c r="B44" s="265" t="s">
        <v>254</v>
      </c>
      <c r="C44" s="252"/>
      <c r="D44" s="250"/>
      <c r="E44" s="250"/>
      <c r="F44" s="250"/>
      <c r="G44" s="250">
        <v>-7.117822E-2</v>
      </c>
      <c r="H44" s="250">
        <v>-0.22248789999999999</v>
      </c>
      <c r="I44" s="250"/>
      <c r="J44" s="250"/>
      <c r="K44" s="250"/>
      <c r="L44" s="250"/>
      <c r="M44" s="250"/>
      <c r="N44" s="251"/>
      <c r="O44" s="273">
        <f t="shared" si="2"/>
        <v>-0.29366611999999997</v>
      </c>
      <c r="P44" s="2"/>
      <c r="Q44" s="9"/>
    </row>
    <row r="45" spans="2:17" hidden="1">
      <c r="B45" s="265" t="s">
        <v>268</v>
      </c>
      <c r="C45" s="252"/>
      <c r="D45" s="250"/>
      <c r="E45" s="250"/>
      <c r="F45" s="250"/>
      <c r="G45" s="250"/>
      <c r="H45" s="250"/>
      <c r="I45" s="250"/>
      <c r="J45" s="250"/>
      <c r="K45" s="250"/>
      <c r="L45" s="250"/>
      <c r="M45" s="250"/>
      <c r="N45" s="251"/>
      <c r="O45" s="273">
        <f t="shared" si="2"/>
        <v>0</v>
      </c>
      <c r="P45" s="2"/>
      <c r="Q45" s="9"/>
    </row>
    <row r="46" spans="2:17" ht="24.95" hidden="1" customHeight="1">
      <c r="B46" s="25" t="s">
        <v>269</v>
      </c>
      <c r="C46" s="244">
        <f>C9-C16</f>
        <v>22.234846220000065</v>
      </c>
      <c r="D46" s="245">
        <f>D9-D16</f>
        <v>4.4788262199999735</v>
      </c>
      <c r="E46" s="245">
        <f t="shared" ref="E46:N46" si="9">E9-E16</f>
        <v>-8.259625979999953</v>
      </c>
      <c r="F46" s="245">
        <f t="shared" si="9"/>
        <v>232.62818812000012</v>
      </c>
      <c r="G46" s="245">
        <f t="shared" si="9"/>
        <v>-15.749647720000098</v>
      </c>
      <c r="H46" s="245">
        <f t="shared" si="9"/>
        <v>-70.506143539999982</v>
      </c>
      <c r="I46" s="245">
        <f t="shared" si="9"/>
        <v>-87.685245499999951</v>
      </c>
      <c r="J46" s="245">
        <f t="shared" si="9"/>
        <v>20.872065889999988</v>
      </c>
      <c r="K46" s="245">
        <f t="shared" si="9"/>
        <v>29.185529409999987</v>
      </c>
      <c r="L46" s="245">
        <f t="shared" si="9"/>
        <v>-2.8501155100000801</v>
      </c>
      <c r="M46" s="245">
        <f t="shared" si="9"/>
        <v>13.463931589999959</v>
      </c>
      <c r="N46" s="247">
        <f t="shared" si="9"/>
        <v>-93.28304417999999</v>
      </c>
      <c r="O46" s="271">
        <f t="shared" si="2"/>
        <v>44.529565020000035</v>
      </c>
      <c r="P46" s="2"/>
      <c r="Q46" s="9"/>
    </row>
    <row r="47" spans="2:17" ht="24.95" hidden="1" customHeight="1">
      <c r="B47" s="25" t="s">
        <v>296</v>
      </c>
      <c r="C47" s="252"/>
      <c r="D47" s="250"/>
      <c r="E47" s="250"/>
      <c r="F47" s="250"/>
      <c r="G47" s="250"/>
      <c r="H47" s="250"/>
      <c r="I47" s="250"/>
      <c r="J47" s="250"/>
      <c r="K47" s="250"/>
      <c r="L47" s="250"/>
      <c r="M47" s="250"/>
      <c r="N47" s="251"/>
      <c r="O47" s="273"/>
      <c r="P47" s="2"/>
      <c r="Q47" s="9"/>
    </row>
    <row r="48" spans="2:17" ht="18" hidden="1" customHeight="1">
      <c r="B48" s="272" t="s">
        <v>272</v>
      </c>
      <c r="C48" s="244">
        <f>C8-C15</f>
        <v>-18.125189649999925</v>
      </c>
      <c r="D48" s="245">
        <f>D8-D15</f>
        <v>-61.761387290000016</v>
      </c>
      <c r="E48" s="245">
        <f t="shared" ref="E48:N48" si="10">E8-E15</f>
        <v>-64.369051619999993</v>
      </c>
      <c r="F48" s="245">
        <f t="shared" si="10"/>
        <v>185.08769688000018</v>
      </c>
      <c r="G48" s="245">
        <f t="shared" si="10"/>
        <v>-66.969808000000114</v>
      </c>
      <c r="H48" s="245">
        <f t="shared" si="10"/>
        <v>-113.98884108000004</v>
      </c>
      <c r="I48" s="245">
        <f t="shared" si="10"/>
        <v>-184.03865508999991</v>
      </c>
      <c r="J48" s="245">
        <f t="shared" si="10"/>
        <v>-19.989778349999995</v>
      </c>
      <c r="K48" s="245">
        <f t="shared" si="10"/>
        <v>-18.749719940000034</v>
      </c>
      <c r="L48" s="245">
        <f t="shared" si="10"/>
        <v>-41.601926370000058</v>
      </c>
      <c r="M48" s="245">
        <f t="shared" si="10"/>
        <v>-45.706636450000076</v>
      </c>
      <c r="N48" s="247">
        <f t="shared" si="10"/>
        <v>-117.29304886</v>
      </c>
      <c r="O48" s="271">
        <f t="shared" si="2"/>
        <v>-567.50634581999998</v>
      </c>
      <c r="P48" s="2"/>
      <c r="Q48" s="9"/>
    </row>
    <row r="49" spans="2:17" ht="18" hidden="1" customHeight="1">
      <c r="B49" s="272" t="s">
        <v>273</v>
      </c>
      <c r="C49" s="244">
        <f>C48-C14</f>
        <v>-18.125189649999925</v>
      </c>
      <c r="D49" s="245">
        <f>D48-D14</f>
        <v>-62.290517300000019</v>
      </c>
      <c r="E49" s="245">
        <f t="shared" ref="E49:N49" si="11">E48-E14</f>
        <v>-65.012491299999994</v>
      </c>
      <c r="F49" s="245">
        <f t="shared" si="11"/>
        <v>183.86572688000018</v>
      </c>
      <c r="G49" s="245">
        <f t="shared" si="11"/>
        <v>-67.684388000000112</v>
      </c>
      <c r="H49" s="245">
        <f t="shared" si="11"/>
        <v>-114.90106788000004</v>
      </c>
      <c r="I49" s="245">
        <f t="shared" si="11"/>
        <v>-184.7783321199999</v>
      </c>
      <c r="J49" s="245">
        <f t="shared" si="11"/>
        <v>-23.347078349999993</v>
      </c>
      <c r="K49" s="245">
        <f t="shared" si="11"/>
        <v>-20.329219940000034</v>
      </c>
      <c r="L49" s="245">
        <f t="shared" si="11"/>
        <v>-43.030526370000061</v>
      </c>
      <c r="M49" s="245">
        <f t="shared" si="11"/>
        <v>-45.922536450000074</v>
      </c>
      <c r="N49" s="247">
        <f t="shared" si="11"/>
        <v>-148.94101563999999</v>
      </c>
      <c r="O49" s="271">
        <f t="shared" si="2"/>
        <v>-610.49663611999995</v>
      </c>
      <c r="P49" s="2"/>
      <c r="Q49" s="9"/>
    </row>
    <row r="50" spans="2:17" ht="18" hidden="1" customHeight="1">
      <c r="B50" s="272" t="s">
        <v>274</v>
      </c>
      <c r="C50" s="244">
        <f>C48-C73</f>
        <v>-51.432252279999922</v>
      </c>
      <c r="D50" s="245">
        <f>D48-D73</f>
        <v>-92.84685970000001</v>
      </c>
      <c r="E50" s="245">
        <f t="shared" ref="E50:N50" si="12">E48-E73</f>
        <v>-97.072753129999995</v>
      </c>
      <c r="F50" s="245">
        <f t="shared" si="12"/>
        <v>153.32709504000019</v>
      </c>
      <c r="G50" s="245">
        <f t="shared" si="12"/>
        <v>-98.320713250000111</v>
      </c>
      <c r="H50" s="245">
        <f t="shared" si="12"/>
        <v>-145.35953814000004</v>
      </c>
      <c r="I50" s="245">
        <f t="shared" si="12"/>
        <v>-216.00525538999989</v>
      </c>
      <c r="J50" s="245">
        <f t="shared" si="12"/>
        <v>-51.700840409999998</v>
      </c>
      <c r="K50" s="245">
        <f t="shared" si="12"/>
        <v>-50.864383280000034</v>
      </c>
      <c r="L50" s="245">
        <f t="shared" si="12"/>
        <v>-73.623395470000048</v>
      </c>
      <c r="M50" s="245">
        <f t="shared" si="12"/>
        <v>-78.200440430000072</v>
      </c>
      <c r="N50" s="247">
        <f t="shared" si="12"/>
        <v>-170.99589872000001</v>
      </c>
      <c r="O50" s="271">
        <f t="shared" si="2"/>
        <v>-973.0952351599999</v>
      </c>
      <c r="P50" s="2"/>
      <c r="Q50" s="9"/>
    </row>
    <row r="51" spans="2:17" ht="24.95" hidden="1" customHeight="1">
      <c r="B51" s="25" t="s">
        <v>275</v>
      </c>
      <c r="C51" s="244">
        <f>SUM(C52:C53)</f>
        <v>-13.591900000000001</v>
      </c>
      <c r="D51" s="245">
        <f>SUM(D52:D53)</f>
        <v>637</v>
      </c>
      <c r="E51" s="245">
        <f t="shared" ref="E51:N51" si="13">SUM(E52:E53)</f>
        <v>-14.299999999999999</v>
      </c>
      <c r="F51" s="245">
        <f t="shared" si="13"/>
        <v>-16.166640060000002</v>
      </c>
      <c r="G51" s="245">
        <f t="shared" si="13"/>
        <v>-28.900000000000002</v>
      </c>
      <c r="H51" s="245">
        <f t="shared" si="13"/>
        <v>-19.893062100000002</v>
      </c>
      <c r="I51" s="245">
        <f t="shared" si="13"/>
        <v>-562.47517500000004</v>
      </c>
      <c r="J51" s="245">
        <f t="shared" si="13"/>
        <v>-17.992058919999998</v>
      </c>
      <c r="K51" s="245">
        <f t="shared" si="13"/>
        <v>77.95362738999998</v>
      </c>
      <c r="L51" s="245">
        <f t="shared" si="13"/>
        <v>44.873261020000001</v>
      </c>
      <c r="M51" s="245">
        <f t="shared" si="13"/>
        <v>66.529529999999994</v>
      </c>
      <c r="N51" s="247">
        <f t="shared" si="13"/>
        <v>-14.974049000000001</v>
      </c>
      <c r="O51" s="271">
        <f t="shared" si="2"/>
        <v>138.06353333000007</v>
      </c>
      <c r="P51" s="2"/>
      <c r="Q51" s="9"/>
    </row>
    <row r="52" spans="2:17" hidden="1">
      <c r="B52" s="35" t="s">
        <v>276</v>
      </c>
      <c r="C52" s="252">
        <v>1.6250000000000002</v>
      </c>
      <c r="D52" s="250">
        <v>653.5</v>
      </c>
      <c r="E52" s="250">
        <v>3.9</v>
      </c>
      <c r="F52" s="250">
        <v>3.0658599400000002</v>
      </c>
      <c r="G52" s="250">
        <v>0.4</v>
      </c>
      <c r="H52" s="250">
        <v>2.2086179000000001</v>
      </c>
      <c r="I52" s="250">
        <v>104.512756</v>
      </c>
      <c r="J52" s="250">
        <v>0.47176807999999998</v>
      </c>
      <c r="K52" s="250">
        <v>101.52326799999999</v>
      </c>
      <c r="L52" s="250">
        <v>59.068630470000002</v>
      </c>
      <c r="M52" s="250">
        <v>100.8</v>
      </c>
      <c r="N52" s="251">
        <v>10.175529000000001</v>
      </c>
      <c r="O52" s="273">
        <f t="shared" si="2"/>
        <v>1041.2514293900001</v>
      </c>
      <c r="P52" s="2"/>
      <c r="Q52" s="9"/>
    </row>
    <row r="53" spans="2:17" hidden="1">
      <c r="B53" s="35" t="s">
        <v>277</v>
      </c>
      <c r="C53" s="252">
        <v>-15.216900000000001</v>
      </c>
      <c r="D53" s="250">
        <v>-16.5</v>
      </c>
      <c r="E53" s="250">
        <v>-18.2</v>
      </c>
      <c r="F53" s="250">
        <v>-19.232500000000002</v>
      </c>
      <c r="G53" s="250">
        <v>-29.3</v>
      </c>
      <c r="H53" s="250">
        <v>-22.101680000000002</v>
      </c>
      <c r="I53" s="250">
        <v>-666.987931</v>
      </c>
      <c r="J53" s="250">
        <v>-18.463826999999998</v>
      </c>
      <c r="K53" s="250">
        <v>-23.56964061</v>
      </c>
      <c r="L53" s="250">
        <v>-14.195369449999999</v>
      </c>
      <c r="M53" s="250">
        <v>-34.270469999999996</v>
      </c>
      <c r="N53" s="251">
        <v>-25.149578000000002</v>
      </c>
      <c r="O53" s="273">
        <f t="shared" si="2"/>
        <v>-903.18789606000007</v>
      </c>
      <c r="P53" s="2"/>
      <c r="Q53" s="9"/>
    </row>
    <row r="54" spans="2:17" ht="24.95" hidden="1" customHeight="1">
      <c r="B54" s="25" t="s">
        <v>278</v>
      </c>
      <c r="C54" s="244">
        <f>+C55+C58+C61+C64+C65</f>
        <v>31.717089649999927</v>
      </c>
      <c r="D54" s="245">
        <f>+D55+D58+D61+D64+D65</f>
        <v>-575.23861270999998</v>
      </c>
      <c r="E54" s="245">
        <f t="shared" ref="E54:N54" si="14">+E55+E58+E61+E64+E65</f>
        <v>78.669051619999976</v>
      </c>
      <c r="F54" s="245">
        <f t="shared" si="14"/>
        <v>-168.92105682000019</v>
      </c>
      <c r="G54" s="245">
        <f t="shared" si="14"/>
        <v>95.86980800000012</v>
      </c>
      <c r="H54" s="245">
        <f t="shared" si="14"/>
        <v>133.88190318000005</v>
      </c>
      <c r="I54" s="245">
        <f t="shared" si="14"/>
        <v>746.51383008999994</v>
      </c>
      <c r="J54" s="245">
        <f t="shared" si="14"/>
        <v>37.98183727</v>
      </c>
      <c r="K54" s="245">
        <f t="shared" si="14"/>
        <v>-59.203907449999946</v>
      </c>
      <c r="L54" s="245">
        <f t="shared" si="14"/>
        <v>-3.2713346499999396</v>
      </c>
      <c r="M54" s="245">
        <f t="shared" si="14"/>
        <v>-20.822893549999925</v>
      </c>
      <c r="N54" s="247">
        <f t="shared" si="14"/>
        <v>132.26709785999998</v>
      </c>
      <c r="O54" s="271">
        <f>SUM(C54:N54)</f>
        <v>429.44281248999999</v>
      </c>
      <c r="P54" s="2"/>
      <c r="Q54" s="9"/>
    </row>
    <row r="55" spans="2:17" hidden="1">
      <c r="B55" s="35" t="s">
        <v>279</v>
      </c>
      <c r="C55" s="252">
        <f>+C56+C57</f>
        <v>29.11</v>
      </c>
      <c r="D55" s="250">
        <f>+D56+D57</f>
        <v>-613.54300000000001</v>
      </c>
      <c r="E55" s="250">
        <f t="shared" ref="E55:N55" si="15">+E56+E57</f>
        <v>50.954999999999998</v>
      </c>
      <c r="F55" s="250">
        <f t="shared" si="15"/>
        <v>-21.916499999999999</v>
      </c>
      <c r="G55" s="250">
        <f t="shared" si="15"/>
        <v>-39.049999999999997</v>
      </c>
      <c r="H55" s="250">
        <f t="shared" si="15"/>
        <v>109.485</v>
      </c>
      <c r="I55" s="250">
        <f t="shared" si="15"/>
        <v>620.83199999999999</v>
      </c>
      <c r="J55" s="250">
        <f t="shared" si="15"/>
        <v>33.607999999999997</v>
      </c>
      <c r="K55" s="250">
        <f t="shared" si="15"/>
        <v>-71.498773999999997</v>
      </c>
      <c r="L55" s="250">
        <f t="shared" si="15"/>
        <v>-27.609865710000001</v>
      </c>
      <c r="M55" s="250">
        <f t="shared" si="15"/>
        <v>2.4075637099999998</v>
      </c>
      <c r="N55" s="251">
        <f t="shared" si="15"/>
        <v>75.833386000000004</v>
      </c>
      <c r="O55" s="273">
        <f t="shared" si="2"/>
        <v>148.61281000000008</v>
      </c>
      <c r="P55" s="2"/>
      <c r="Q55" s="9"/>
    </row>
    <row r="56" spans="2:17" hidden="1">
      <c r="B56" s="265" t="s">
        <v>280</v>
      </c>
      <c r="C56" s="252"/>
      <c r="D56" s="250"/>
      <c r="E56" s="250"/>
      <c r="F56" s="250"/>
      <c r="G56" s="250"/>
      <c r="H56" s="250"/>
      <c r="I56" s="250"/>
      <c r="J56" s="250"/>
      <c r="K56" s="250"/>
      <c r="L56" s="250"/>
      <c r="M56" s="250"/>
      <c r="N56" s="251"/>
      <c r="O56" s="273">
        <f t="shared" si="2"/>
        <v>0</v>
      </c>
      <c r="P56" s="2"/>
      <c r="Q56" s="9"/>
    </row>
    <row r="57" spans="2:17" hidden="1">
      <c r="B57" s="265" t="s">
        <v>281</v>
      </c>
      <c r="C57" s="252">
        <v>29.11</v>
      </c>
      <c r="D57" s="250">
        <v>-613.54300000000001</v>
      </c>
      <c r="E57" s="250">
        <v>50.954999999999998</v>
      </c>
      <c r="F57" s="250">
        <v>-21.916499999999999</v>
      </c>
      <c r="G57" s="250">
        <v>-39.049999999999997</v>
      </c>
      <c r="H57" s="250">
        <v>109.485</v>
      </c>
      <c r="I57" s="250">
        <v>620.83199999999999</v>
      </c>
      <c r="J57" s="250">
        <v>33.607999999999997</v>
      </c>
      <c r="K57" s="250">
        <v>-71.498773999999997</v>
      </c>
      <c r="L57" s="250">
        <v>-27.609865710000001</v>
      </c>
      <c r="M57" s="250">
        <v>2.4075637099999998</v>
      </c>
      <c r="N57" s="251">
        <v>75.833386000000004</v>
      </c>
      <c r="O57" s="273">
        <f t="shared" si="2"/>
        <v>148.61281000000008</v>
      </c>
      <c r="P57" s="2"/>
      <c r="Q57" s="9"/>
    </row>
    <row r="58" spans="2:17" hidden="1">
      <c r="B58" s="35" t="s">
        <v>282</v>
      </c>
      <c r="C58" s="252">
        <f>+C59+C60</f>
        <v>-25.12</v>
      </c>
      <c r="D58" s="250">
        <f>+D59+D60</f>
        <v>10.32356351</v>
      </c>
      <c r="E58" s="250">
        <f t="shared" ref="E58:N58" si="16">+E59+E60</f>
        <v>79.24783269000001</v>
      </c>
      <c r="F58" s="250">
        <f t="shared" si="16"/>
        <v>-183.30499509000001</v>
      </c>
      <c r="G58" s="250">
        <f t="shared" si="16"/>
        <v>147.48697462000001</v>
      </c>
      <c r="H58" s="250">
        <f t="shared" si="16"/>
        <v>89.633114680000006</v>
      </c>
      <c r="I58" s="250">
        <f t="shared" si="16"/>
        <v>57.855458139999996</v>
      </c>
      <c r="J58" s="250">
        <f t="shared" si="16"/>
        <v>56.099951280000006</v>
      </c>
      <c r="K58" s="250">
        <f t="shared" si="16"/>
        <v>-13.180068459999999</v>
      </c>
      <c r="L58" s="250">
        <f t="shared" si="16"/>
        <v>36.492830380000001</v>
      </c>
      <c r="M58" s="250">
        <f t="shared" si="16"/>
        <v>-38.22615768</v>
      </c>
      <c r="N58" s="251">
        <f t="shared" si="16"/>
        <v>36.633844269999997</v>
      </c>
      <c r="O58" s="273">
        <f t="shared" si="2"/>
        <v>253.94234834</v>
      </c>
      <c r="P58" s="2"/>
      <c r="Q58" s="9"/>
    </row>
    <row r="59" spans="2:17" hidden="1">
      <c r="B59" s="265" t="s">
        <v>280</v>
      </c>
      <c r="C59" s="252"/>
      <c r="D59" s="250">
        <v>46.723563509999998</v>
      </c>
      <c r="E59" s="250">
        <v>51.946832690000008</v>
      </c>
      <c r="F59" s="250">
        <v>33.542004910000003</v>
      </c>
      <c r="G59" s="250">
        <v>-10.322025379999999</v>
      </c>
      <c r="H59" s="250">
        <v>15.612114680000001</v>
      </c>
      <c r="I59" s="250">
        <v>89.656458139999998</v>
      </c>
      <c r="J59" s="250">
        <v>30.622041280000005</v>
      </c>
      <c r="K59" s="250">
        <v>0.51393154000000152</v>
      </c>
      <c r="L59" s="250">
        <v>27.923830379999998</v>
      </c>
      <c r="M59" s="250">
        <v>-16.631157679999998</v>
      </c>
      <c r="N59" s="251">
        <v>17.909844270000001</v>
      </c>
      <c r="O59" s="273">
        <f t="shared" si="2"/>
        <v>287.49743834000003</v>
      </c>
      <c r="P59" s="2"/>
      <c r="Q59" s="9"/>
    </row>
    <row r="60" spans="2:17" hidden="1">
      <c r="B60" s="265" t="s">
        <v>281</v>
      </c>
      <c r="C60" s="252">
        <v>-25.12</v>
      </c>
      <c r="D60" s="250">
        <v>-36.4</v>
      </c>
      <c r="E60" s="250">
        <v>27.300999999999998</v>
      </c>
      <c r="F60" s="250">
        <v>-216.84700000000001</v>
      </c>
      <c r="G60" s="250">
        <v>157.809</v>
      </c>
      <c r="H60" s="250">
        <v>74.021000000000001</v>
      </c>
      <c r="I60" s="250">
        <v>-31.800999999999998</v>
      </c>
      <c r="J60" s="250">
        <v>25.477910000000001</v>
      </c>
      <c r="K60" s="250">
        <v>-13.694000000000001</v>
      </c>
      <c r="L60" s="250">
        <v>8.5690000000000008</v>
      </c>
      <c r="M60" s="250">
        <v>-21.594999999999999</v>
      </c>
      <c r="N60" s="251">
        <v>18.724</v>
      </c>
      <c r="O60" s="273">
        <f t="shared" si="2"/>
        <v>-33.555090000000007</v>
      </c>
      <c r="P60" s="2"/>
      <c r="Q60" s="9"/>
    </row>
    <row r="61" spans="2:17" hidden="1">
      <c r="B61" s="35" t="s">
        <v>283</v>
      </c>
      <c r="C61" s="252">
        <f>+C62+C63</f>
        <v>0</v>
      </c>
      <c r="D61" s="250">
        <f>+D62+D63</f>
        <v>0</v>
      </c>
      <c r="E61" s="250">
        <f t="shared" ref="E61:N61" si="17">+E62+E63</f>
        <v>0</v>
      </c>
      <c r="F61" s="250">
        <f t="shared" si="17"/>
        <v>0</v>
      </c>
      <c r="G61" s="250">
        <f t="shared" si="17"/>
        <v>0</v>
      </c>
      <c r="H61" s="250">
        <f t="shared" si="17"/>
        <v>0</v>
      </c>
      <c r="I61" s="250">
        <f t="shared" si="17"/>
        <v>0</v>
      </c>
      <c r="J61" s="250">
        <f t="shared" si="17"/>
        <v>0</v>
      </c>
      <c r="K61" s="250">
        <f t="shared" si="17"/>
        <v>0</v>
      </c>
      <c r="L61" s="250">
        <f t="shared" si="17"/>
        <v>0</v>
      </c>
      <c r="M61" s="250">
        <f t="shared" si="17"/>
        <v>0</v>
      </c>
      <c r="N61" s="251">
        <f t="shared" si="17"/>
        <v>0</v>
      </c>
      <c r="O61" s="251">
        <f t="shared" si="2"/>
        <v>0</v>
      </c>
      <c r="P61" s="2"/>
      <c r="Q61" s="9"/>
    </row>
    <row r="62" spans="2:17" hidden="1">
      <c r="B62" s="265" t="s">
        <v>280</v>
      </c>
      <c r="C62" s="252"/>
      <c r="D62" s="250"/>
      <c r="E62" s="250"/>
      <c r="F62" s="250"/>
      <c r="G62" s="250"/>
      <c r="H62" s="250"/>
      <c r="I62" s="250"/>
      <c r="J62" s="250"/>
      <c r="K62" s="250"/>
      <c r="L62" s="250"/>
      <c r="M62" s="250"/>
      <c r="N62" s="251"/>
      <c r="O62" s="251">
        <f t="shared" si="2"/>
        <v>0</v>
      </c>
      <c r="P62" s="2"/>
      <c r="Q62" s="9"/>
    </row>
    <row r="63" spans="2:17" hidden="1">
      <c r="B63" s="265" t="s">
        <v>281</v>
      </c>
      <c r="C63" s="252"/>
      <c r="D63" s="250"/>
      <c r="E63" s="250"/>
      <c r="F63" s="250"/>
      <c r="G63" s="250"/>
      <c r="H63" s="250"/>
      <c r="I63" s="250"/>
      <c r="J63" s="250"/>
      <c r="K63" s="250"/>
      <c r="L63" s="250"/>
      <c r="M63" s="250"/>
      <c r="N63" s="251"/>
      <c r="O63" s="251">
        <f t="shared" si="2"/>
        <v>0</v>
      </c>
      <c r="P63" s="2"/>
      <c r="Q63" s="9"/>
    </row>
    <row r="64" spans="2:17" hidden="1">
      <c r="B64" s="35" t="s">
        <v>284</v>
      </c>
      <c r="C64" s="252">
        <v>28.465407469999995</v>
      </c>
      <c r="D64" s="250">
        <v>29.318400400000002</v>
      </c>
      <c r="E64" s="250">
        <v>6.2796197800000044</v>
      </c>
      <c r="F64" s="250">
        <v>41.168152370000001</v>
      </c>
      <c r="G64" s="250">
        <v>29.817997299999995</v>
      </c>
      <c r="H64" s="250">
        <v>19.157041470000003</v>
      </c>
      <c r="I64" s="250">
        <v>65.701630929999993</v>
      </c>
      <c r="J64" s="250">
        <v>16.431712409999999</v>
      </c>
      <c r="K64" s="250">
        <v>79.835378489999997</v>
      </c>
      <c r="L64" s="250">
        <v>18.932333339999996</v>
      </c>
      <c r="M64" s="250">
        <v>32.664475360000004</v>
      </c>
      <c r="N64" s="251">
        <v>73.57169995000001</v>
      </c>
      <c r="O64" s="251">
        <f t="shared" si="2"/>
        <v>441.34384926999996</v>
      </c>
      <c r="P64" s="2"/>
      <c r="Q64" s="9"/>
    </row>
    <row r="65" spans="2:17" hidden="1">
      <c r="B65" s="35" t="s">
        <v>285</v>
      </c>
      <c r="C65" s="252">
        <f>SUM(C66:C70)</f>
        <v>-0.73831782000006996</v>
      </c>
      <c r="D65" s="250">
        <f>SUM(D66:D70)</f>
        <v>-1.3375766199999788</v>
      </c>
      <c r="E65" s="250">
        <f t="shared" ref="E65:N65" si="18">SUM(E66:E70)</f>
        <v>-57.813400850000022</v>
      </c>
      <c r="F65" s="250">
        <f t="shared" si="18"/>
        <v>-4.8677141000001782</v>
      </c>
      <c r="G65" s="250">
        <f t="shared" si="18"/>
        <v>-42.385163919999883</v>
      </c>
      <c r="H65" s="250">
        <f t="shared" si="18"/>
        <v>-84.393252969999963</v>
      </c>
      <c r="I65" s="250">
        <f t="shared" si="18"/>
        <v>2.1247410199999734</v>
      </c>
      <c r="J65" s="250">
        <f t="shared" si="18"/>
        <v>-68.157826420000006</v>
      </c>
      <c r="K65" s="250">
        <f t="shared" si="18"/>
        <v>-54.360443479999944</v>
      </c>
      <c r="L65" s="250">
        <f t="shared" si="18"/>
        <v>-31.086632659999935</v>
      </c>
      <c r="M65" s="250">
        <f t="shared" si="18"/>
        <v>-17.668774939999928</v>
      </c>
      <c r="N65" s="251">
        <f t="shared" si="18"/>
        <v>-53.771832360000019</v>
      </c>
      <c r="O65" s="273">
        <f t="shared" si="2"/>
        <v>-414.4561951199999</v>
      </c>
      <c r="P65" s="2"/>
      <c r="Q65" s="9"/>
    </row>
    <row r="66" spans="2:17" hidden="1">
      <c r="B66" s="265" t="s">
        <v>286</v>
      </c>
      <c r="C66" s="252"/>
      <c r="D66" s="250"/>
      <c r="E66" s="250"/>
      <c r="F66" s="250"/>
      <c r="G66" s="250"/>
      <c r="H66" s="250"/>
      <c r="I66" s="250"/>
      <c r="J66" s="250"/>
      <c r="K66" s="250"/>
      <c r="L66" s="250"/>
      <c r="M66" s="250"/>
      <c r="N66" s="251"/>
      <c r="O66" s="273">
        <f t="shared" si="2"/>
        <v>0</v>
      </c>
      <c r="P66" s="2"/>
      <c r="Q66" s="9"/>
    </row>
    <row r="67" spans="2:17" hidden="1">
      <c r="B67" s="265" t="s">
        <v>287</v>
      </c>
      <c r="C67" s="252"/>
      <c r="D67" s="250"/>
      <c r="E67" s="250"/>
      <c r="F67" s="250"/>
      <c r="G67" s="250"/>
      <c r="H67" s="250"/>
      <c r="I67" s="250"/>
      <c r="J67" s="250"/>
      <c r="K67" s="250"/>
      <c r="L67" s="250"/>
      <c r="M67" s="250"/>
      <c r="N67" s="251"/>
      <c r="O67" s="273">
        <f t="shared" si="2"/>
        <v>0</v>
      </c>
      <c r="P67" s="2"/>
      <c r="Q67" s="9"/>
    </row>
    <row r="68" spans="2:17" hidden="1">
      <c r="B68" s="265" t="s">
        <v>288</v>
      </c>
      <c r="C68" s="252"/>
      <c r="D68" s="250"/>
      <c r="E68" s="250"/>
      <c r="F68" s="250"/>
      <c r="G68" s="250"/>
      <c r="H68" s="250"/>
      <c r="I68" s="250"/>
      <c r="J68" s="250"/>
      <c r="K68" s="250"/>
      <c r="L68" s="250"/>
      <c r="M68" s="250"/>
      <c r="N68" s="251"/>
      <c r="O68" s="273">
        <f t="shared" si="2"/>
        <v>0</v>
      </c>
      <c r="P68" s="2"/>
      <c r="Q68" s="9"/>
    </row>
    <row r="69" spans="2:17" hidden="1">
      <c r="B69" s="265" t="s">
        <v>289</v>
      </c>
      <c r="C69" s="252">
        <v>-33.307062629999997</v>
      </c>
      <c r="D69" s="250">
        <v>-31.085472410000001</v>
      </c>
      <c r="E69" s="250">
        <v>-32.703701510000002</v>
      </c>
      <c r="F69" s="250">
        <v>-31.76060184</v>
      </c>
      <c r="G69" s="250">
        <v>-31.350905249999997</v>
      </c>
      <c r="H69" s="250">
        <v>-31.370697060000001</v>
      </c>
      <c r="I69" s="250">
        <v>-31.966600299999996</v>
      </c>
      <c r="J69" s="250">
        <v>-31.71106206</v>
      </c>
      <c r="K69" s="250">
        <v>-32.11466334</v>
      </c>
      <c r="L69" s="250">
        <v>-32.021469099999997</v>
      </c>
      <c r="M69" s="250">
        <v>-32.493803980000003</v>
      </c>
      <c r="N69" s="251">
        <v>-53.702849860000001</v>
      </c>
      <c r="O69" s="273">
        <f t="shared" si="2"/>
        <v>-405.58888933999998</v>
      </c>
      <c r="P69" s="2"/>
      <c r="Q69" s="9"/>
    </row>
    <row r="70" spans="2:17" hidden="1">
      <c r="B70" s="265" t="s">
        <v>285</v>
      </c>
      <c r="C70" s="252">
        <v>32.568744809999927</v>
      </c>
      <c r="D70" s="250">
        <v>29.747895790000022</v>
      </c>
      <c r="E70" s="250">
        <v>-25.10969934000002</v>
      </c>
      <c r="F70" s="250">
        <v>26.892887739999821</v>
      </c>
      <c r="G70" s="250">
        <v>-11.034258669999886</v>
      </c>
      <c r="H70" s="250">
        <v>-53.022555909999966</v>
      </c>
      <c r="I70" s="250">
        <v>34.09134131999997</v>
      </c>
      <c r="J70" s="250">
        <v>-36.446764360000003</v>
      </c>
      <c r="K70" s="250">
        <v>-22.245780139999944</v>
      </c>
      <c r="L70" s="250">
        <v>0.93483644000006194</v>
      </c>
      <c r="M70" s="250">
        <v>14.825029040000075</v>
      </c>
      <c r="N70" s="251">
        <v>-6.8982500000018376E-2</v>
      </c>
      <c r="O70" s="273">
        <f t="shared" si="2"/>
        <v>-8.8673057799999668</v>
      </c>
      <c r="P70" s="2"/>
      <c r="Q70" s="9"/>
    </row>
    <row r="71" spans="2:17" ht="24.75" hidden="1" customHeight="1">
      <c r="B71" s="25" t="s">
        <v>290</v>
      </c>
      <c r="C71" s="244">
        <f>-C48-C51-C54</f>
        <v>0</v>
      </c>
      <c r="D71" s="245">
        <f>-D48-D51-D54</f>
        <v>0</v>
      </c>
      <c r="E71" s="245">
        <f t="shared" ref="E71:N71" si="19">-E48-E51-E54</f>
        <v>0</v>
      </c>
      <c r="F71" s="245">
        <f t="shared" si="19"/>
        <v>0</v>
      </c>
      <c r="G71" s="245">
        <f t="shared" si="19"/>
        <v>0</v>
      </c>
      <c r="H71" s="245">
        <f t="shared" si="19"/>
        <v>0</v>
      </c>
      <c r="I71" s="245">
        <f t="shared" si="19"/>
        <v>0</v>
      </c>
      <c r="J71" s="245">
        <f t="shared" si="19"/>
        <v>0</v>
      </c>
      <c r="K71" s="245">
        <f t="shared" si="19"/>
        <v>0</v>
      </c>
      <c r="L71" s="245">
        <f t="shared" si="19"/>
        <v>-3.5527136788005009E-15</v>
      </c>
      <c r="M71" s="245">
        <f t="shared" si="19"/>
        <v>0</v>
      </c>
      <c r="N71" s="247">
        <f t="shared" si="19"/>
        <v>0</v>
      </c>
      <c r="O71" s="271">
        <f t="shared" si="2"/>
        <v>-3.5527136788005009E-15</v>
      </c>
      <c r="P71" s="2"/>
      <c r="Q71" s="9"/>
    </row>
    <row r="72" spans="2:17" hidden="1">
      <c r="B72" s="42"/>
      <c r="C72" s="252"/>
      <c r="D72" s="250"/>
      <c r="E72" s="250"/>
      <c r="F72" s="250"/>
      <c r="G72" s="250"/>
      <c r="H72" s="250"/>
      <c r="I72" s="250"/>
      <c r="J72" s="250"/>
      <c r="K72" s="250"/>
      <c r="L72" s="250"/>
      <c r="M72" s="250"/>
      <c r="N72" s="251"/>
      <c r="O72" s="273"/>
      <c r="P72" s="2"/>
      <c r="Q72" s="9"/>
    </row>
    <row r="73" spans="2:17" ht="24.75" hidden="1" customHeight="1">
      <c r="B73" s="25" t="s">
        <v>291</v>
      </c>
      <c r="C73" s="244">
        <v>33.307062629999997</v>
      </c>
      <c r="D73" s="245">
        <v>31.085472410000001</v>
      </c>
      <c r="E73" s="245">
        <v>32.703701510000002</v>
      </c>
      <c r="F73" s="245">
        <v>31.76060184</v>
      </c>
      <c r="G73" s="245">
        <v>31.350905249999997</v>
      </c>
      <c r="H73" s="245">
        <v>31.370697060000001</v>
      </c>
      <c r="I73" s="245">
        <v>31.966600299999996</v>
      </c>
      <c r="J73" s="245">
        <v>31.71106206</v>
      </c>
      <c r="K73" s="245">
        <v>32.11466334</v>
      </c>
      <c r="L73" s="245">
        <v>32.021469099999997</v>
      </c>
      <c r="M73" s="245">
        <v>32.493803980000003</v>
      </c>
      <c r="N73" s="247">
        <v>53.702849860000001</v>
      </c>
      <c r="O73" s="271">
        <f>SUM(C73:N73)</f>
        <v>405.58888933999998</v>
      </c>
      <c r="P73" s="2"/>
      <c r="Q73" s="9"/>
    </row>
    <row r="74" spans="2:17" ht="24.75" hidden="1" customHeight="1">
      <c r="B74" s="25" t="s">
        <v>292</v>
      </c>
      <c r="C74" s="277"/>
      <c r="D74" s="278"/>
      <c r="E74" s="278"/>
      <c r="F74" s="278"/>
      <c r="G74" s="278"/>
      <c r="H74" s="278"/>
      <c r="I74" s="278"/>
      <c r="J74" s="278"/>
      <c r="K74" s="278"/>
      <c r="L74" s="278"/>
      <c r="M74" s="278"/>
      <c r="N74" s="273"/>
      <c r="O74" s="273">
        <f>SUM(C74:N74)</f>
        <v>0</v>
      </c>
      <c r="P74" s="2"/>
      <c r="Q74" s="9"/>
    </row>
    <row r="75" spans="2:17" ht="26.25" hidden="1" customHeight="1">
      <c r="B75" s="38" t="s">
        <v>56</v>
      </c>
      <c r="C75" s="279"/>
      <c r="D75" s="280"/>
      <c r="E75" s="280"/>
      <c r="F75" s="280"/>
      <c r="G75" s="280"/>
      <c r="H75" s="280"/>
      <c r="I75" s="280"/>
      <c r="J75" s="280"/>
      <c r="K75" s="280"/>
      <c r="L75" s="280"/>
      <c r="M75" s="280"/>
      <c r="N75" s="281"/>
      <c r="O75" s="267">
        <v>20283.78</v>
      </c>
      <c r="P75" s="2"/>
      <c r="Q75" s="9"/>
    </row>
    <row r="76" spans="2:17" ht="6" customHeight="1">
      <c r="B76" s="2"/>
      <c r="C76" s="2"/>
      <c r="D76" s="2"/>
      <c r="E76" s="2"/>
      <c r="F76" s="2"/>
      <c r="G76" s="2"/>
      <c r="H76" s="2"/>
      <c r="I76" s="2"/>
      <c r="J76" s="2"/>
      <c r="K76" s="2"/>
      <c r="L76" s="2"/>
      <c r="M76" s="2"/>
      <c r="N76" s="2"/>
      <c r="O76" s="2"/>
      <c r="P76" s="2"/>
      <c r="Q76" s="9"/>
    </row>
    <row r="77" spans="2:17">
      <c r="B77" s="2" t="s">
        <v>293</v>
      </c>
      <c r="C77" s="2"/>
      <c r="D77" s="2"/>
      <c r="E77" s="2"/>
      <c r="F77" s="2"/>
      <c r="G77" s="2"/>
      <c r="H77" s="2"/>
      <c r="I77" s="2"/>
      <c r="J77" s="2"/>
      <c r="K77" s="2"/>
      <c r="L77" s="2"/>
      <c r="M77" s="2"/>
      <c r="N77" s="2"/>
      <c r="O77" s="2"/>
      <c r="P77" s="2"/>
      <c r="Q77" s="9"/>
    </row>
    <row r="78" spans="2:17">
      <c r="B78" s="2"/>
      <c r="C78" s="2"/>
      <c r="D78" s="2"/>
      <c r="E78" s="2"/>
      <c r="F78" s="2"/>
      <c r="G78" s="2"/>
      <c r="H78" s="2"/>
      <c r="I78" s="2"/>
      <c r="J78" s="2"/>
      <c r="K78" s="2"/>
      <c r="L78" s="2"/>
      <c r="M78" s="2"/>
      <c r="N78" s="2"/>
      <c r="O78" s="2"/>
      <c r="P78" s="2"/>
      <c r="Q78" s="9"/>
    </row>
  </sheetData>
  <printOptions horizontalCentered="1"/>
  <pageMargins left="0.7" right="0.7" top="0.75" bottom="0.75" header="0.3" footer="0.3"/>
  <pageSetup scale="71" orientation="landscape" r:id="rId1"/>
  <ignoredErrors>
    <ignoredError sqref="C9:N9"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Q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s>
  <sheetData>
    <row r="2" spans="2:16">
      <c r="B2" s="234" t="s">
        <v>18</v>
      </c>
      <c r="C2" s="2"/>
      <c r="D2" s="2"/>
      <c r="E2" s="2"/>
      <c r="F2" s="2"/>
      <c r="G2" s="2"/>
      <c r="H2" s="2"/>
      <c r="I2" s="2"/>
      <c r="J2" s="2"/>
      <c r="K2" s="2"/>
      <c r="L2" s="2"/>
      <c r="M2" s="2"/>
      <c r="N2" s="2"/>
      <c r="O2" s="2"/>
      <c r="P2" s="2"/>
    </row>
    <row r="3" spans="2:16">
      <c r="B3" s="234" t="s">
        <v>301</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302</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348.84293487000002</v>
      </c>
      <c r="D8" s="246">
        <f>+D9+D13+D14</f>
        <v>285.07071680999991</v>
      </c>
      <c r="E8" s="246">
        <f t="shared" ref="E8:N8" si="0">+E9+E13+E14</f>
        <v>308.45590697999995</v>
      </c>
      <c r="F8" s="246">
        <f t="shared" si="0"/>
        <v>580.96313725000005</v>
      </c>
      <c r="G8" s="246">
        <f t="shared" si="0"/>
        <v>304.55647651999999</v>
      </c>
      <c r="H8" s="246">
        <f t="shared" si="0"/>
        <v>278.40497234000003</v>
      </c>
      <c r="I8" s="246">
        <f t="shared" si="0"/>
        <v>305.66281408999998</v>
      </c>
      <c r="J8" s="246">
        <f t="shared" si="0"/>
        <v>285.45797849000002</v>
      </c>
      <c r="K8" s="246">
        <f t="shared" si="0"/>
        <v>273.01371147999998</v>
      </c>
      <c r="L8" s="246">
        <f t="shared" si="0"/>
        <v>295.99810186999991</v>
      </c>
      <c r="M8" s="246">
        <f t="shared" si="0"/>
        <v>291.52005658000002</v>
      </c>
      <c r="N8" s="271">
        <f t="shared" si="0"/>
        <v>299.64275867999999</v>
      </c>
      <c r="O8" s="271">
        <f>SUM(C8:N8)</f>
        <v>3857.5895659600001</v>
      </c>
      <c r="P8" s="2"/>
    </row>
    <row r="9" spans="2:16" ht="18" customHeight="1">
      <c r="B9" s="272" t="s">
        <v>240</v>
      </c>
      <c r="C9" s="270">
        <f>SUM(C10:C12)</f>
        <v>348.62393487000003</v>
      </c>
      <c r="D9" s="246">
        <f>SUM(D10:D12)</f>
        <v>284.98571680999993</v>
      </c>
      <c r="E9" s="246">
        <f t="shared" ref="E9:N9" si="1">SUM(E10:E12)</f>
        <v>304.87500131999997</v>
      </c>
      <c r="F9" s="246">
        <f t="shared" si="1"/>
        <v>576.45835012000009</v>
      </c>
      <c r="G9" s="246">
        <f t="shared" si="1"/>
        <v>295.52600652000001</v>
      </c>
      <c r="H9" s="246">
        <f t="shared" si="1"/>
        <v>275.80362404000005</v>
      </c>
      <c r="I9" s="246">
        <f t="shared" si="1"/>
        <v>304.57938109999998</v>
      </c>
      <c r="J9" s="246">
        <f t="shared" si="1"/>
        <v>284.76892886000002</v>
      </c>
      <c r="K9" s="246">
        <f t="shared" si="1"/>
        <v>272.37671147999998</v>
      </c>
      <c r="L9" s="246">
        <f t="shared" si="1"/>
        <v>294.00884490999994</v>
      </c>
      <c r="M9" s="246">
        <f t="shared" si="1"/>
        <v>289.03305657999999</v>
      </c>
      <c r="N9" s="271">
        <f t="shared" si="1"/>
        <v>296.39403938999999</v>
      </c>
      <c r="O9" s="271">
        <f>SUM(C9:N9)</f>
        <v>3827.4335959999999</v>
      </c>
      <c r="P9" s="2"/>
    </row>
    <row r="10" spans="2:16">
      <c r="B10" s="265" t="s">
        <v>241</v>
      </c>
      <c r="C10" s="252">
        <v>330.53661442000003</v>
      </c>
      <c r="D10" s="250">
        <v>272.33571213999994</v>
      </c>
      <c r="E10" s="250">
        <v>288.10902278999998</v>
      </c>
      <c r="F10" s="250">
        <v>565.51915589000009</v>
      </c>
      <c r="G10" s="250">
        <v>281.51872457000002</v>
      </c>
      <c r="H10" s="250">
        <v>266.57539239000005</v>
      </c>
      <c r="I10" s="250">
        <v>293.61967584999996</v>
      </c>
      <c r="J10" s="250">
        <v>274.64508179000001</v>
      </c>
      <c r="K10" s="250">
        <v>262.14584421999996</v>
      </c>
      <c r="L10" s="250">
        <v>284.51762718999993</v>
      </c>
      <c r="M10" s="250">
        <v>278.18995469999999</v>
      </c>
      <c r="N10" s="251">
        <v>287.65649612999999</v>
      </c>
      <c r="O10" s="273">
        <f>SUM(C10:N10)</f>
        <v>3685.3693020800001</v>
      </c>
      <c r="P10" s="2"/>
    </row>
    <row r="11" spans="2:16">
      <c r="B11" s="265" t="s">
        <v>242</v>
      </c>
      <c r="C11" s="252">
        <v>11.08732045</v>
      </c>
      <c r="D11" s="250">
        <v>12.65000467</v>
      </c>
      <c r="E11" s="250">
        <v>16.020395780000001</v>
      </c>
      <c r="F11" s="250">
        <v>10.93919423</v>
      </c>
      <c r="G11" s="250">
        <v>14.007281950000001</v>
      </c>
      <c r="H11" s="250">
        <v>9.2282316499999997</v>
      </c>
      <c r="I11" s="250">
        <v>10.959705250000001</v>
      </c>
      <c r="J11" s="250">
        <v>10.12384707</v>
      </c>
      <c r="K11" s="250">
        <v>10.23086726</v>
      </c>
      <c r="L11" s="250">
        <v>9.4912177199999999</v>
      </c>
      <c r="M11" s="250">
        <v>10.843101880000001</v>
      </c>
      <c r="N11" s="251">
        <v>8.7375432600000007</v>
      </c>
      <c r="O11" s="273">
        <f t="shared" ref="O11:O71" si="2">SUM(C11:N11)</f>
        <v>134.31871117</v>
      </c>
      <c r="P11" s="2"/>
    </row>
    <row r="12" spans="2:16">
      <c r="B12" s="265" t="s">
        <v>243</v>
      </c>
      <c r="C12" s="252">
        <v>7</v>
      </c>
      <c r="D12" s="250">
        <v>0</v>
      </c>
      <c r="E12" s="250">
        <v>0.74558275000000007</v>
      </c>
      <c r="F12" s="250">
        <v>0</v>
      </c>
      <c r="G12" s="250">
        <v>0</v>
      </c>
      <c r="H12" s="250">
        <v>0</v>
      </c>
      <c r="I12" s="250">
        <v>0</v>
      </c>
      <c r="J12" s="250">
        <v>0</v>
      </c>
      <c r="K12" s="250">
        <v>0</v>
      </c>
      <c r="L12" s="250">
        <v>0</v>
      </c>
      <c r="M12" s="250">
        <v>0</v>
      </c>
      <c r="N12" s="251">
        <v>0</v>
      </c>
      <c r="O12" s="273">
        <f t="shared" si="2"/>
        <v>7.7455827500000005</v>
      </c>
      <c r="P12" s="2"/>
    </row>
    <row r="13" spans="2:16" ht="18" customHeight="1">
      <c r="B13" s="272" t="s">
        <v>244</v>
      </c>
      <c r="C13" s="244">
        <v>0.01</v>
      </c>
      <c r="D13" s="245">
        <v>0</v>
      </c>
      <c r="E13" s="245">
        <v>2.4E-2</v>
      </c>
      <c r="F13" s="245">
        <v>3.3100000000000002E-4</v>
      </c>
      <c r="G13" s="245">
        <v>0</v>
      </c>
      <c r="H13" s="245">
        <v>0.14134830000000001</v>
      </c>
      <c r="I13" s="245">
        <v>0</v>
      </c>
      <c r="J13" s="245">
        <v>0</v>
      </c>
      <c r="K13" s="245">
        <v>0</v>
      </c>
      <c r="L13" s="245">
        <v>1.0537000000000001E-3</v>
      </c>
      <c r="M13" s="245">
        <v>0</v>
      </c>
      <c r="N13" s="247">
        <v>0</v>
      </c>
      <c r="O13" s="271">
        <f t="shared" si="2"/>
        <v>0.176733</v>
      </c>
      <c r="P13" s="2"/>
    </row>
    <row r="14" spans="2:16" ht="18" customHeight="1">
      <c r="B14" s="272" t="s">
        <v>245</v>
      </c>
      <c r="C14" s="244">
        <v>0.20899999999999999</v>
      </c>
      <c r="D14" s="245">
        <v>8.5000000000000006E-2</v>
      </c>
      <c r="E14" s="245">
        <v>3.55690566</v>
      </c>
      <c r="F14" s="245">
        <v>4.5044561300000003</v>
      </c>
      <c r="G14" s="245">
        <v>9.0304699999999993</v>
      </c>
      <c r="H14" s="245">
        <v>2.4599999999999995</v>
      </c>
      <c r="I14" s="245">
        <v>1.0834329899999999</v>
      </c>
      <c r="J14" s="245">
        <v>0.68904963000000008</v>
      </c>
      <c r="K14" s="245">
        <v>0.6369999999999999</v>
      </c>
      <c r="L14" s="245">
        <v>1.9882032600000001</v>
      </c>
      <c r="M14" s="245">
        <v>2.4870000000000001</v>
      </c>
      <c r="N14" s="247">
        <v>3.2487192900000004</v>
      </c>
      <c r="O14" s="271">
        <f t="shared" si="2"/>
        <v>29.979236959999998</v>
      </c>
      <c r="P14" s="2"/>
    </row>
    <row r="15" spans="2:16" ht="24.95" customHeight="1">
      <c r="B15" s="25" t="s">
        <v>246</v>
      </c>
      <c r="C15" s="244">
        <f>+C16+C29+C40</f>
        <v>377.94005486000003</v>
      </c>
      <c r="D15" s="245">
        <f>+D16+D29+D40</f>
        <v>300.72268265999998</v>
      </c>
      <c r="E15" s="245">
        <f t="shared" ref="E15:N15" si="3">+E16+E29+E40</f>
        <v>373.87311324000001</v>
      </c>
      <c r="F15" s="245">
        <f t="shared" si="3"/>
        <v>308.09339710699999</v>
      </c>
      <c r="G15" s="245">
        <f t="shared" si="3"/>
        <v>481.27732012000001</v>
      </c>
      <c r="H15" s="245">
        <f t="shared" si="3"/>
        <v>394.32279488</v>
      </c>
      <c r="I15" s="245">
        <f t="shared" si="3"/>
        <v>360.57449620299997</v>
      </c>
      <c r="J15" s="245">
        <f t="shared" si="3"/>
        <v>273.61856365</v>
      </c>
      <c r="K15" s="245">
        <f t="shared" si="3"/>
        <v>297.17403466000002</v>
      </c>
      <c r="L15" s="245">
        <f t="shared" si="3"/>
        <v>305.50126344000006</v>
      </c>
      <c r="M15" s="245">
        <f t="shared" si="3"/>
        <v>393.22779922000001</v>
      </c>
      <c r="N15" s="247">
        <f t="shared" si="3"/>
        <v>392.10845606999999</v>
      </c>
      <c r="O15" s="271">
        <f t="shared" si="2"/>
        <v>4258.43397611</v>
      </c>
      <c r="P15" s="2"/>
    </row>
    <row r="16" spans="2:16" ht="18" customHeight="1">
      <c r="B16" s="272" t="s">
        <v>247</v>
      </c>
      <c r="C16" s="244">
        <f>SUM(C17:C20)</f>
        <v>326.18400758000001</v>
      </c>
      <c r="D16" s="245">
        <f>SUM(D17:D20)</f>
        <v>262.93713955999999</v>
      </c>
      <c r="E16" s="245">
        <f t="shared" ref="E16:N16" si="4">SUM(E17:E20)</f>
        <v>280.51038636999999</v>
      </c>
      <c r="F16" s="245">
        <f t="shared" si="4"/>
        <v>256.124985057</v>
      </c>
      <c r="G16" s="245">
        <f t="shared" si="4"/>
        <v>385.16203766000001</v>
      </c>
      <c r="H16" s="245">
        <f t="shared" si="4"/>
        <v>325.74926138000001</v>
      </c>
      <c r="I16" s="245">
        <f t="shared" si="4"/>
        <v>297.904897753</v>
      </c>
      <c r="J16" s="245">
        <f t="shared" si="4"/>
        <v>244.96165970999999</v>
      </c>
      <c r="K16" s="245">
        <f t="shared" si="4"/>
        <v>241.61190576999999</v>
      </c>
      <c r="L16" s="245">
        <f t="shared" si="4"/>
        <v>256.73963865000002</v>
      </c>
      <c r="M16" s="245">
        <f t="shared" si="4"/>
        <v>307.44530677</v>
      </c>
      <c r="N16" s="247">
        <f t="shared" si="4"/>
        <v>330.24201398000002</v>
      </c>
      <c r="O16" s="271">
        <f t="shared" si="2"/>
        <v>3515.5732402399999</v>
      </c>
      <c r="P16" s="2"/>
    </row>
    <row r="17" spans="2:17">
      <c r="B17" s="265" t="s">
        <v>136</v>
      </c>
      <c r="C17" s="252">
        <v>101.18519839999999</v>
      </c>
      <c r="D17" s="250">
        <v>100.54450718</v>
      </c>
      <c r="E17" s="250">
        <v>88.183213389999992</v>
      </c>
      <c r="F17" s="250">
        <v>115.324192717</v>
      </c>
      <c r="G17" s="250">
        <v>117.45423339999999</v>
      </c>
      <c r="H17" s="250">
        <v>113.99960014</v>
      </c>
      <c r="I17" s="250">
        <v>104.62519788</v>
      </c>
      <c r="J17" s="250">
        <v>104.91215491</v>
      </c>
      <c r="K17" s="250">
        <v>103.88444204</v>
      </c>
      <c r="L17" s="250">
        <v>101.27982008000001</v>
      </c>
      <c r="M17" s="250">
        <v>108.88558977</v>
      </c>
      <c r="N17" s="251">
        <v>163.33936284999999</v>
      </c>
      <c r="O17" s="273">
        <f t="shared" si="2"/>
        <v>1323.617512757</v>
      </c>
      <c r="P17" s="2"/>
    </row>
    <row r="18" spans="2:17">
      <c r="B18" s="265" t="s">
        <v>248</v>
      </c>
      <c r="C18" s="252">
        <v>40.249657480000003</v>
      </c>
      <c r="D18" s="250">
        <v>37.635260710000004</v>
      </c>
      <c r="E18" s="250">
        <v>37.22012917</v>
      </c>
      <c r="F18" s="250">
        <v>28.05376854</v>
      </c>
      <c r="G18" s="250">
        <v>83.462851499999985</v>
      </c>
      <c r="H18" s="250">
        <v>33.745985359999999</v>
      </c>
      <c r="I18" s="250">
        <v>28.149220769999996</v>
      </c>
      <c r="J18" s="250">
        <v>24.005399599999997</v>
      </c>
      <c r="K18" s="250">
        <v>29.343774459999999</v>
      </c>
      <c r="L18" s="250">
        <v>22.924627249999997</v>
      </c>
      <c r="M18" s="250">
        <v>53.296030450000011</v>
      </c>
      <c r="N18" s="251">
        <v>28.64783048</v>
      </c>
      <c r="O18" s="273">
        <f t="shared" si="2"/>
        <v>446.73453576999998</v>
      </c>
      <c r="P18" s="2"/>
    </row>
    <row r="19" spans="2:17">
      <c r="B19" s="265" t="s">
        <v>249</v>
      </c>
      <c r="C19" s="252">
        <v>78.060758410000005</v>
      </c>
      <c r="D19" s="250">
        <v>27.660649279999998</v>
      </c>
      <c r="E19" s="250">
        <v>55.951941099999999</v>
      </c>
      <c r="F19" s="250">
        <v>6.9872622999999994</v>
      </c>
      <c r="G19" s="250">
        <v>23.917404309999998</v>
      </c>
      <c r="H19" s="250">
        <v>66.830736770000001</v>
      </c>
      <c r="I19" s="250">
        <v>72.50853248</v>
      </c>
      <c r="J19" s="250">
        <v>27.030633250000001</v>
      </c>
      <c r="K19" s="250">
        <v>24.294619300000001</v>
      </c>
      <c r="L19" s="250">
        <v>43.85189811</v>
      </c>
      <c r="M19" s="250">
        <v>38.332021189999999</v>
      </c>
      <c r="N19" s="251">
        <v>55.911208409999993</v>
      </c>
      <c r="O19" s="273">
        <f t="shared" si="2"/>
        <v>521.33766490999994</v>
      </c>
      <c r="P19" s="2"/>
    </row>
    <row r="20" spans="2:17">
      <c r="B20" s="265" t="s">
        <v>250</v>
      </c>
      <c r="C20" s="252">
        <f>SUM(C21:C28)</f>
        <v>106.68839329000001</v>
      </c>
      <c r="D20" s="250">
        <f>SUM(D21:D28)</f>
        <v>97.096722390000011</v>
      </c>
      <c r="E20" s="250">
        <f t="shared" ref="E20:N20" si="5">SUM(E21:E28)</f>
        <v>99.155102710000008</v>
      </c>
      <c r="F20" s="250">
        <f t="shared" si="5"/>
        <v>105.75976149999998</v>
      </c>
      <c r="G20" s="250">
        <f t="shared" si="5"/>
        <v>160.32754845000002</v>
      </c>
      <c r="H20" s="250">
        <f t="shared" si="5"/>
        <v>111.17293910999999</v>
      </c>
      <c r="I20" s="250">
        <f t="shared" si="5"/>
        <v>92.621946623000014</v>
      </c>
      <c r="J20" s="250">
        <f t="shared" si="5"/>
        <v>89.013471949999982</v>
      </c>
      <c r="K20" s="250">
        <f t="shared" si="5"/>
        <v>84.089069969999997</v>
      </c>
      <c r="L20" s="250">
        <f t="shared" si="5"/>
        <v>88.683293210000016</v>
      </c>
      <c r="M20" s="250">
        <f t="shared" si="5"/>
        <v>106.93166536000001</v>
      </c>
      <c r="N20" s="251">
        <f t="shared" si="5"/>
        <v>82.343612240000013</v>
      </c>
      <c r="O20" s="273">
        <f t="shared" si="2"/>
        <v>1223.883526803</v>
      </c>
      <c r="P20" s="2"/>
      <c r="Q20" s="9"/>
    </row>
    <row r="21" spans="2:17">
      <c r="B21" s="274" t="s">
        <v>251</v>
      </c>
      <c r="C21" s="252">
        <v>36.315849469999996</v>
      </c>
      <c r="D21" s="250">
        <v>42.989675660000003</v>
      </c>
      <c r="E21" s="250">
        <v>42.505691710000001</v>
      </c>
      <c r="F21" s="250">
        <v>40.664644079999988</v>
      </c>
      <c r="G21" s="250">
        <v>63.979343199999995</v>
      </c>
      <c r="H21" s="250">
        <v>42.284891399999985</v>
      </c>
      <c r="I21" s="250">
        <v>37.308969640000008</v>
      </c>
      <c r="J21" s="250">
        <v>38.112891019999985</v>
      </c>
      <c r="K21" s="250">
        <v>42.354497160000008</v>
      </c>
      <c r="L21" s="250">
        <v>40.200957700000011</v>
      </c>
      <c r="M21" s="250">
        <v>47.529141300000006</v>
      </c>
      <c r="N21" s="251">
        <v>52.114620959999996</v>
      </c>
      <c r="O21" s="273">
        <f t="shared" si="2"/>
        <v>526.3611732999999</v>
      </c>
      <c r="P21" s="2"/>
      <c r="Q21" s="9"/>
    </row>
    <row r="22" spans="2:17">
      <c r="B22" s="274" t="s">
        <v>252</v>
      </c>
      <c r="C22" s="252">
        <v>0</v>
      </c>
      <c r="D22" s="250">
        <v>6.6945000000000005E-2</v>
      </c>
      <c r="E22" s="250">
        <v>3.3474999999999998E-2</v>
      </c>
      <c r="F22" s="250">
        <v>3.347E-2</v>
      </c>
      <c r="G22" s="250">
        <v>3.3474999999999998E-2</v>
      </c>
      <c r="H22" s="250">
        <v>0</v>
      </c>
      <c r="I22" s="250">
        <v>6.6949999999999996E-2</v>
      </c>
      <c r="J22" s="250">
        <v>3.347E-2</v>
      </c>
      <c r="K22" s="250">
        <v>3.3474999999999998E-2</v>
      </c>
      <c r="L22" s="250">
        <v>3.347E-2</v>
      </c>
      <c r="M22" s="250">
        <v>3.3474999999999998E-2</v>
      </c>
      <c r="N22" s="251">
        <v>3.3474999999999998E-2</v>
      </c>
      <c r="O22" s="273">
        <f t="shared" si="2"/>
        <v>0.40167999999999993</v>
      </c>
      <c r="P22" s="2"/>
      <c r="Q22" s="9"/>
    </row>
    <row r="23" spans="2:17">
      <c r="B23" s="274" t="s">
        <v>253</v>
      </c>
      <c r="C23" s="252">
        <v>0.32682500000000003</v>
      </c>
      <c r="D23" s="250">
        <v>0.34716000000000002</v>
      </c>
      <c r="E23" s="250">
        <v>0.14511499999999999</v>
      </c>
      <c r="F23" s="250">
        <v>0.40748000000000001</v>
      </c>
      <c r="G23" s="250">
        <v>0.30506500000000003</v>
      </c>
      <c r="H23" s="250">
        <v>0.28607499999999997</v>
      </c>
      <c r="I23" s="250">
        <v>0.30825067</v>
      </c>
      <c r="J23" s="250">
        <v>0.26820250000000001</v>
      </c>
      <c r="K23" s="250">
        <v>0.15</v>
      </c>
      <c r="L23" s="250">
        <v>0.27282499999999998</v>
      </c>
      <c r="M23" s="250">
        <v>0</v>
      </c>
      <c r="N23" s="251">
        <v>0.124025</v>
      </c>
      <c r="O23" s="273">
        <f t="shared" si="2"/>
        <v>2.9410231700000002</v>
      </c>
      <c r="P23" s="2"/>
      <c r="Q23" s="9"/>
    </row>
    <row r="24" spans="2:17">
      <c r="B24" s="274" t="s">
        <v>254</v>
      </c>
      <c r="C24" s="252">
        <v>69.640635250000003</v>
      </c>
      <c r="D24" s="250">
        <v>52.645490379999998</v>
      </c>
      <c r="E24" s="250">
        <v>55.541049000000001</v>
      </c>
      <c r="F24" s="250">
        <v>64.335212419999991</v>
      </c>
      <c r="G24" s="250">
        <v>94.712634780000002</v>
      </c>
      <c r="H24" s="250">
        <v>67.603371239999987</v>
      </c>
      <c r="I24" s="250">
        <v>54.574806313000003</v>
      </c>
      <c r="J24" s="250">
        <v>50.271378429999999</v>
      </c>
      <c r="K24" s="250">
        <v>40.257160709999987</v>
      </c>
      <c r="L24" s="250">
        <v>47.820387780000011</v>
      </c>
      <c r="M24" s="250">
        <v>58.821643160000008</v>
      </c>
      <c r="N24" s="251">
        <v>29.586224330000007</v>
      </c>
      <c r="O24" s="273">
        <f t="shared" si="2"/>
        <v>685.8099937930001</v>
      </c>
      <c r="P24" s="2"/>
      <c r="Q24" s="9"/>
    </row>
    <row r="25" spans="2:17">
      <c r="B25" s="274" t="s">
        <v>255</v>
      </c>
      <c r="C25" s="252">
        <v>0.10382857000000001</v>
      </c>
      <c r="D25" s="250">
        <v>0.73453634999999995</v>
      </c>
      <c r="E25" s="250">
        <v>0.59661200000000003</v>
      </c>
      <c r="F25" s="250">
        <v>0</v>
      </c>
      <c r="G25" s="250">
        <v>0.96107546999999993</v>
      </c>
      <c r="H25" s="250">
        <v>0.65451647000000002</v>
      </c>
      <c r="I25" s="250">
        <v>2.8799999999999999E-2</v>
      </c>
      <c r="J25" s="250">
        <v>0</v>
      </c>
      <c r="K25" s="250">
        <v>0.95028709999999994</v>
      </c>
      <c r="L25" s="250">
        <v>2.0862729999999999E-2</v>
      </c>
      <c r="M25" s="250">
        <v>0.30091853000000002</v>
      </c>
      <c r="N25" s="251">
        <v>0.05</v>
      </c>
      <c r="O25" s="273">
        <f t="shared" si="2"/>
        <v>4.4014372199999992</v>
      </c>
      <c r="P25" s="2"/>
      <c r="Q25" s="9"/>
    </row>
    <row r="26" spans="2:17">
      <c r="B26" s="274" t="s">
        <v>256</v>
      </c>
      <c r="C26" s="252">
        <v>0.301255</v>
      </c>
      <c r="D26" s="250">
        <v>0.312915</v>
      </c>
      <c r="E26" s="250">
        <v>0.33316000000000001</v>
      </c>
      <c r="F26" s="250">
        <v>0.31895499999999999</v>
      </c>
      <c r="G26" s="250">
        <v>0.335955</v>
      </c>
      <c r="H26" s="250">
        <v>0.34408499999999997</v>
      </c>
      <c r="I26" s="250">
        <v>0.33417000000000002</v>
      </c>
      <c r="J26" s="250">
        <v>0.32752999999999999</v>
      </c>
      <c r="K26" s="250">
        <v>0.34365000000000001</v>
      </c>
      <c r="L26" s="250">
        <v>0.33478999999999998</v>
      </c>
      <c r="M26" s="250">
        <v>0.24648736999999998</v>
      </c>
      <c r="N26" s="251">
        <v>0.43526694999999999</v>
      </c>
      <c r="O26" s="273">
        <f t="shared" si="2"/>
        <v>3.9682193199999998</v>
      </c>
      <c r="P26" s="2"/>
      <c r="Q26" s="9"/>
    </row>
    <row r="27" spans="2:17">
      <c r="B27" s="274" t="s">
        <v>257</v>
      </c>
      <c r="C27" s="252">
        <v>0</v>
      </c>
      <c r="D27" s="250">
        <v>0</v>
      </c>
      <c r="E27" s="250">
        <v>0</v>
      </c>
      <c r="F27" s="250">
        <v>0</v>
      </c>
      <c r="G27" s="250">
        <v>0</v>
      </c>
      <c r="H27" s="250">
        <v>0</v>
      </c>
      <c r="I27" s="250">
        <v>0</v>
      </c>
      <c r="J27" s="250">
        <v>0</v>
      </c>
      <c r="K27" s="250">
        <v>0</v>
      </c>
      <c r="L27" s="250">
        <v>0</v>
      </c>
      <c r="M27" s="250">
        <v>0</v>
      </c>
      <c r="N27" s="251">
        <v>0</v>
      </c>
      <c r="O27" s="273">
        <f t="shared" si="2"/>
        <v>0</v>
      </c>
      <c r="P27" s="2"/>
      <c r="Q27" s="9"/>
    </row>
    <row r="28" spans="2:17">
      <c r="B28" s="274" t="s">
        <v>258</v>
      </c>
      <c r="C28" s="252">
        <v>0</v>
      </c>
      <c r="D28" s="250">
        <v>0</v>
      </c>
      <c r="E28" s="250">
        <v>0</v>
      </c>
      <c r="F28" s="250">
        <v>0</v>
      </c>
      <c r="G28" s="250">
        <v>0</v>
      </c>
      <c r="H28" s="250">
        <v>0</v>
      </c>
      <c r="I28" s="250">
        <v>0</v>
      </c>
      <c r="J28" s="250">
        <v>0</v>
      </c>
      <c r="K28" s="250">
        <v>0</v>
      </c>
      <c r="L28" s="250">
        <v>0</v>
      </c>
      <c r="M28" s="250">
        <v>0</v>
      </c>
      <c r="N28" s="251">
        <v>0</v>
      </c>
      <c r="O28" s="273">
        <f t="shared" si="2"/>
        <v>0</v>
      </c>
      <c r="P28" s="2"/>
      <c r="Q28" s="9"/>
    </row>
    <row r="29" spans="2:17" ht="18" customHeight="1">
      <c r="B29" s="272" t="s">
        <v>259</v>
      </c>
      <c r="C29" s="244">
        <f>SUM(C30:C31)</f>
        <v>52.815094889999997</v>
      </c>
      <c r="D29" s="245">
        <f>SUM(D30:D31)</f>
        <v>37.785543099999998</v>
      </c>
      <c r="E29" s="245">
        <f t="shared" ref="E29:N29" si="6">SUM(E30:E31)</f>
        <v>93.362726870000017</v>
      </c>
      <c r="F29" s="245">
        <f t="shared" si="6"/>
        <v>54.372722050000007</v>
      </c>
      <c r="G29" s="245">
        <f t="shared" si="6"/>
        <v>96.115282460000003</v>
      </c>
      <c r="H29" s="245">
        <f t="shared" si="6"/>
        <v>69.144831109999998</v>
      </c>
      <c r="I29" s="245">
        <f t="shared" si="6"/>
        <v>63.059058500000006</v>
      </c>
      <c r="J29" s="245">
        <f t="shared" si="6"/>
        <v>28.656903939999999</v>
      </c>
      <c r="K29" s="245">
        <f t="shared" si="6"/>
        <v>55.562128890000004</v>
      </c>
      <c r="L29" s="245">
        <f t="shared" si="6"/>
        <v>51.24076479</v>
      </c>
      <c r="M29" s="245">
        <f t="shared" si="6"/>
        <v>79.21372461</v>
      </c>
      <c r="N29" s="247">
        <f t="shared" si="6"/>
        <v>57.629595280000004</v>
      </c>
      <c r="O29" s="271">
        <f t="shared" si="2"/>
        <v>738.95837648999998</v>
      </c>
      <c r="P29" s="2"/>
      <c r="Q29" s="9"/>
    </row>
    <row r="30" spans="2:17">
      <c r="B30" s="265" t="s">
        <v>260</v>
      </c>
      <c r="C30" s="252">
        <v>13.497536599999998</v>
      </c>
      <c r="D30" s="250">
        <v>12.741874790000001</v>
      </c>
      <c r="E30" s="250">
        <v>19.938640630000005</v>
      </c>
      <c r="F30" s="250">
        <v>15.48368297</v>
      </c>
      <c r="G30" s="250">
        <v>40.636150400000005</v>
      </c>
      <c r="H30" s="250">
        <v>27.47769757</v>
      </c>
      <c r="I30" s="250">
        <v>17.46112445</v>
      </c>
      <c r="J30" s="250">
        <v>11.385232739999999</v>
      </c>
      <c r="K30" s="250">
        <v>11.48325071</v>
      </c>
      <c r="L30" s="250">
        <v>12.682941209999999</v>
      </c>
      <c r="M30" s="250">
        <v>31.3211537</v>
      </c>
      <c r="N30" s="251">
        <v>20.066610440000002</v>
      </c>
      <c r="O30" s="273">
        <f t="shared" si="2"/>
        <v>234.17589620999999</v>
      </c>
      <c r="P30" s="2"/>
      <c r="Q30" s="9"/>
    </row>
    <row r="31" spans="2:17">
      <c r="B31" s="265" t="s">
        <v>261</v>
      </c>
      <c r="C31" s="252">
        <f>SUM(C32:C39)</f>
        <v>39.317558290000001</v>
      </c>
      <c r="D31" s="250">
        <f>SUM(D32:D39)</f>
        <v>25.043668310000001</v>
      </c>
      <c r="E31" s="250">
        <f t="shared" ref="E31:N31" si="7">SUM(E32:E39)</f>
        <v>73.424086240000008</v>
      </c>
      <c r="F31" s="250">
        <f t="shared" si="7"/>
        <v>38.889039080000003</v>
      </c>
      <c r="G31" s="250">
        <f t="shared" si="7"/>
        <v>55.479132060000005</v>
      </c>
      <c r="H31" s="250">
        <f t="shared" si="7"/>
        <v>41.667133540000002</v>
      </c>
      <c r="I31" s="250">
        <f t="shared" si="7"/>
        <v>45.597934050000006</v>
      </c>
      <c r="J31" s="250">
        <f t="shared" si="7"/>
        <v>17.2716712</v>
      </c>
      <c r="K31" s="250">
        <f t="shared" si="7"/>
        <v>44.078878180000004</v>
      </c>
      <c r="L31" s="250">
        <f t="shared" si="7"/>
        <v>38.557823580000004</v>
      </c>
      <c r="M31" s="250">
        <f t="shared" si="7"/>
        <v>47.892570909999996</v>
      </c>
      <c r="N31" s="251">
        <f t="shared" si="7"/>
        <v>37.562984839999999</v>
      </c>
      <c r="O31" s="273">
        <f t="shared" si="2"/>
        <v>504.78248028000007</v>
      </c>
      <c r="P31" s="2"/>
      <c r="Q31" s="9"/>
    </row>
    <row r="32" spans="2:17">
      <c r="B32" s="274" t="s">
        <v>251</v>
      </c>
      <c r="C32" s="252">
        <v>25.118532200000001</v>
      </c>
      <c r="D32" s="250">
        <v>0.38883005000000004</v>
      </c>
      <c r="E32" s="250">
        <v>50.056232919999999</v>
      </c>
      <c r="F32" s="250">
        <v>25.829256320000002</v>
      </c>
      <c r="G32" s="250">
        <v>26.401065090000003</v>
      </c>
      <c r="H32" s="250">
        <v>25.01673731</v>
      </c>
      <c r="I32" s="250">
        <v>25.159762840000003</v>
      </c>
      <c r="J32" s="250">
        <v>0.13605541999999998</v>
      </c>
      <c r="K32" s="250">
        <v>25.052078160000001</v>
      </c>
      <c r="L32" s="250">
        <v>26.13361883</v>
      </c>
      <c r="M32" s="250">
        <v>24.053079990000001</v>
      </c>
      <c r="N32" s="251">
        <v>25.11114057</v>
      </c>
      <c r="O32" s="273">
        <f t="shared" si="2"/>
        <v>278.45638969999999</v>
      </c>
      <c r="P32" s="2"/>
      <c r="Q32" s="9"/>
    </row>
    <row r="33" spans="2:17">
      <c r="B33" s="274" t="s">
        <v>252</v>
      </c>
      <c r="C33" s="252">
        <v>0</v>
      </c>
      <c r="D33" s="250">
        <v>0</v>
      </c>
      <c r="E33" s="250">
        <v>0</v>
      </c>
      <c r="F33" s="250">
        <v>0</v>
      </c>
      <c r="G33" s="250">
        <v>0</v>
      </c>
      <c r="H33" s="250">
        <v>0</v>
      </c>
      <c r="I33" s="250">
        <v>1.0542208900000001</v>
      </c>
      <c r="J33" s="250">
        <v>1.17817306</v>
      </c>
      <c r="K33" s="250">
        <v>0</v>
      </c>
      <c r="L33" s="250">
        <v>0</v>
      </c>
      <c r="M33" s="250">
        <v>0</v>
      </c>
      <c r="N33" s="251">
        <v>0</v>
      </c>
      <c r="O33" s="273">
        <f t="shared" si="2"/>
        <v>2.2323939500000001</v>
      </c>
      <c r="P33" s="2"/>
      <c r="Q33" s="9"/>
    </row>
    <row r="34" spans="2:17">
      <c r="B34" s="274" t="s">
        <v>253</v>
      </c>
      <c r="C34" s="252">
        <v>0</v>
      </c>
      <c r="D34" s="250">
        <v>0</v>
      </c>
      <c r="E34" s="250">
        <v>0</v>
      </c>
      <c r="F34" s="250">
        <v>0</v>
      </c>
      <c r="G34" s="250">
        <v>0</v>
      </c>
      <c r="H34" s="250">
        <v>0</v>
      </c>
      <c r="I34" s="250">
        <v>0</v>
      </c>
      <c r="J34" s="250">
        <v>0</v>
      </c>
      <c r="K34" s="250">
        <v>0</v>
      </c>
      <c r="L34" s="250">
        <v>0</v>
      </c>
      <c r="M34" s="250">
        <v>0</v>
      </c>
      <c r="N34" s="251">
        <v>0</v>
      </c>
      <c r="O34" s="273">
        <f t="shared" si="2"/>
        <v>0</v>
      </c>
      <c r="P34" s="2"/>
      <c r="Q34" s="9"/>
    </row>
    <row r="35" spans="2:17">
      <c r="B35" s="274" t="s">
        <v>262</v>
      </c>
      <c r="C35" s="252">
        <v>4.7951267</v>
      </c>
      <c r="D35" s="250">
        <v>3.2397315100000004</v>
      </c>
      <c r="E35" s="250">
        <v>8.2740551599999996</v>
      </c>
      <c r="F35" s="250">
        <v>5.5269402400000001</v>
      </c>
      <c r="G35" s="250">
        <v>7.8942732999999992</v>
      </c>
      <c r="H35" s="250">
        <v>6.6193755799999998</v>
      </c>
      <c r="I35" s="250">
        <v>7.0893422600000005</v>
      </c>
      <c r="J35" s="250">
        <v>6.3569787800000004</v>
      </c>
      <c r="K35" s="250">
        <v>7.270481049999999</v>
      </c>
      <c r="L35" s="250">
        <v>5.2685140399999995</v>
      </c>
      <c r="M35" s="250">
        <v>9.0459932999999992</v>
      </c>
      <c r="N35" s="251">
        <v>6.2384120699999999</v>
      </c>
      <c r="O35" s="273">
        <f t="shared" si="2"/>
        <v>77.619223989999995</v>
      </c>
      <c r="P35" s="2"/>
      <c r="Q35" s="9"/>
    </row>
    <row r="36" spans="2:17">
      <c r="B36" s="274" t="s">
        <v>263</v>
      </c>
      <c r="C36" s="252">
        <v>2.32578065</v>
      </c>
      <c r="D36" s="250">
        <v>10.47512382</v>
      </c>
      <c r="E36" s="250">
        <v>7.4461310799999998</v>
      </c>
      <c r="F36" s="250">
        <v>0.97451219999999994</v>
      </c>
      <c r="G36" s="250">
        <v>13.014480589999998</v>
      </c>
      <c r="H36" s="250">
        <v>1.9502383399999998</v>
      </c>
      <c r="I36" s="250">
        <v>4.0986148900000003</v>
      </c>
      <c r="J36" s="250">
        <v>3.4046059299999998</v>
      </c>
      <c r="K36" s="250">
        <v>3.2917949100000001</v>
      </c>
      <c r="L36" s="250">
        <v>0.93495486999999988</v>
      </c>
      <c r="M36" s="250">
        <v>5.6015074399999998</v>
      </c>
      <c r="N36" s="251">
        <v>0.36663517000000001</v>
      </c>
      <c r="O36" s="273">
        <f t="shared" si="2"/>
        <v>53.884379889999998</v>
      </c>
      <c r="P36" s="2"/>
      <c r="Q36" s="9"/>
    </row>
    <row r="37" spans="2:17">
      <c r="B37" s="274" t="s">
        <v>264</v>
      </c>
      <c r="C37" s="252">
        <v>0</v>
      </c>
      <c r="D37" s="250">
        <v>1.58934066</v>
      </c>
      <c r="E37" s="250">
        <v>1.203163</v>
      </c>
      <c r="F37" s="250">
        <v>0</v>
      </c>
      <c r="G37" s="250">
        <v>2.1229644300000001</v>
      </c>
      <c r="H37" s="250">
        <v>2.1229644300000001</v>
      </c>
      <c r="I37" s="250">
        <v>2.1229644200000002</v>
      </c>
      <c r="J37" s="250">
        <v>0</v>
      </c>
      <c r="K37" s="250">
        <v>2.6708129999999999</v>
      </c>
      <c r="L37" s="250">
        <v>1</v>
      </c>
      <c r="M37" s="250">
        <v>3.4088050000000001</v>
      </c>
      <c r="N37" s="251">
        <v>2.8131824699999997</v>
      </c>
      <c r="O37" s="273">
        <f t="shared" si="2"/>
        <v>19.054197410000004</v>
      </c>
      <c r="P37" s="2"/>
      <c r="Q37" s="9"/>
    </row>
    <row r="38" spans="2:17">
      <c r="B38" s="274" t="s">
        <v>265</v>
      </c>
      <c r="C38" s="252">
        <v>0</v>
      </c>
      <c r="D38" s="250">
        <v>0.46700000000000003</v>
      </c>
      <c r="E38" s="250">
        <v>0</v>
      </c>
      <c r="F38" s="250">
        <v>0</v>
      </c>
      <c r="G38" s="250">
        <v>0</v>
      </c>
      <c r="H38" s="250">
        <v>0</v>
      </c>
      <c r="I38" s="250">
        <v>0</v>
      </c>
      <c r="J38" s="250">
        <v>0</v>
      </c>
      <c r="K38" s="250">
        <v>0</v>
      </c>
      <c r="L38" s="250">
        <v>0</v>
      </c>
      <c r="M38" s="250">
        <v>0</v>
      </c>
      <c r="N38" s="251">
        <v>0</v>
      </c>
      <c r="O38" s="273">
        <f t="shared" si="2"/>
        <v>0.46700000000000003</v>
      </c>
      <c r="P38" s="2"/>
      <c r="Q38" s="9"/>
    </row>
    <row r="39" spans="2:17">
      <c r="B39" s="274" t="s">
        <v>266</v>
      </c>
      <c r="C39" s="252">
        <v>7.0781187399999999</v>
      </c>
      <c r="D39" s="250">
        <v>8.8836422699999993</v>
      </c>
      <c r="E39" s="250">
        <v>6.4445040799999997</v>
      </c>
      <c r="F39" s="250">
        <v>6.5583303199999996</v>
      </c>
      <c r="G39" s="250">
        <v>6.0463486499999997</v>
      </c>
      <c r="H39" s="250">
        <v>5.9578178799999995</v>
      </c>
      <c r="I39" s="250">
        <v>6.0730287499999998</v>
      </c>
      <c r="J39" s="250">
        <v>6.1958580099999994</v>
      </c>
      <c r="K39" s="250">
        <v>5.7937110599999997</v>
      </c>
      <c r="L39" s="250">
        <v>5.2207358399999997</v>
      </c>
      <c r="M39" s="250">
        <v>5.7831851799999994</v>
      </c>
      <c r="N39" s="251">
        <v>3.0336145600000002</v>
      </c>
      <c r="O39" s="273">
        <f t="shared" si="2"/>
        <v>73.068895340000012</v>
      </c>
      <c r="P39" s="2"/>
      <c r="Q39" s="9"/>
    </row>
    <row r="40" spans="2:17" ht="18" customHeight="1">
      <c r="B40" s="275" t="s">
        <v>267</v>
      </c>
      <c r="C40" s="257">
        <f>SUM(C41:C45)</f>
        <v>-1.0590476099999999</v>
      </c>
      <c r="D40" s="258">
        <f>SUM(D41:D45)</f>
        <v>0</v>
      </c>
      <c r="E40" s="258">
        <f t="shared" ref="E40:N40" si="8">SUM(E41:E45)</f>
        <v>0</v>
      </c>
      <c r="F40" s="258">
        <f t="shared" si="8"/>
        <v>-2.4043100000000002</v>
      </c>
      <c r="G40" s="258">
        <f t="shared" si="8"/>
        <v>0</v>
      </c>
      <c r="H40" s="258">
        <f t="shared" si="8"/>
        <v>-0.57129761000000001</v>
      </c>
      <c r="I40" s="258">
        <f t="shared" si="8"/>
        <v>-0.38946005</v>
      </c>
      <c r="J40" s="258">
        <f t="shared" si="8"/>
        <v>0</v>
      </c>
      <c r="K40" s="258">
        <f t="shared" si="8"/>
        <v>0</v>
      </c>
      <c r="L40" s="258">
        <f t="shared" si="8"/>
        <v>-2.4791400000000001</v>
      </c>
      <c r="M40" s="258">
        <f t="shared" si="8"/>
        <v>6.5687678399999996</v>
      </c>
      <c r="N40" s="259">
        <f t="shared" si="8"/>
        <v>4.2368468099999994</v>
      </c>
      <c r="O40" s="276">
        <f t="shared" si="2"/>
        <v>3.9023593799999983</v>
      </c>
      <c r="P40" s="2"/>
      <c r="Q40" s="9"/>
    </row>
    <row r="41" spans="2:17" hidden="1">
      <c r="B41" s="265" t="s">
        <v>251</v>
      </c>
      <c r="C41" s="252">
        <v>-1.0590476099999999</v>
      </c>
      <c r="D41" s="250">
        <v>0</v>
      </c>
      <c r="E41" s="250">
        <v>0</v>
      </c>
      <c r="F41" s="250">
        <v>-2.4043100000000002</v>
      </c>
      <c r="G41" s="250">
        <v>0</v>
      </c>
      <c r="H41" s="250">
        <v>0</v>
      </c>
      <c r="I41" s="250">
        <v>-0.20904760999999999</v>
      </c>
      <c r="J41" s="250">
        <v>0</v>
      </c>
      <c r="K41" s="250">
        <v>0</v>
      </c>
      <c r="L41" s="250">
        <v>-2.4791400000000001</v>
      </c>
      <c r="M41" s="250">
        <v>0</v>
      </c>
      <c r="N41" s="251">
        <v>0</v>
      </c>
      <c r="O41" s="273">
        <f t="shared" si="2"/>
        <v>-6.15154522</v>
      </c>
      <c r="P41" s="2"/>
      <c r="Q41" s="9"/>
    </row>
    <row r="42" spans="2:17" hidden="1">
      <c r="B42" s="265" t="s">
        <v>252</v>
      </c>
      <c r="C42" s="252">
        <v>0</v>
      </c>
      <c r="D42" s="250">
        <v>0</v>
      </c>
      <c r="E42" s="250">
        <v>0</v>
      </c>
      <c r="F42" s="250">
        <v>0</v>
      </c>
      <c r="G42" s="250">
        <v>0</v>
      </c>
      <c r="H42" s="250">
        <v>-0.50959898999999997</v>
      </c>
      <c r="I42" s="250">
        <v>0</v>
      </c>
      <c r="J42" s="250">
        <v>0</v>
      </c>
      <c r="K42" s="250">
        <v>0</v>
      </c>
      <c r="L42" s="250">
        <v>0</v>
      </c>
      <c r="M42" s="250">
        <v>6.5687678399999996</v>
      </c>
      <c r="N42" s="251">
        <v>4.4621439499999997</v>
      </c>
      <c r="O42" s="273">
        <f t="shared" si="2"/>
        <v>10.5213128</v>
      </c>
      <c r="P42" s="2"/>
      <c r="Q42" s="9"/>
    </row>
    <row r="43" spans="2:17" hidden="1">
      <c r="B43" s="265" t="s">
        <v>253</v>
      </c>
      <c r="C43" s="252"/>
      <c r="D43" s="250"/>
      <c r="E43" s="250"/>
      <c r="F43" s="250"/>
      <c r="G43" s="250"/>
      <c r="H43" s="250"/>
      <c r="I43" s="250"/>
      <c r="J43" s="250"/>
      <c r="K43" s="250"/>
      <c r="L43" s="250"/>
      <c r="M43" s="250"/>
      <c r="N43" s="251"/>
      <c r="O43" s="273">
        <f t="shared" si="2"/>
        <v>0</v>
      </c>
      <c r="P43" s="2"/>
      <c r="Q43" s="9"/>
    </row>
    <row r="44" spans="2:17" hidden="1">
      <c r="B44" s="265" t="s">
        <v>254</v>
      </c>
      <c r="C44" s="252"/>
      <c r="D44" s="250"/>
      <c r="E44" s="250"/>
      <c r="F44" s="250"/>
      <c r="G44" s="250"/>
      <c r="H44" s="250">
        <v>-6.1698620000000003E-2</v>
      </c>
      <c r="I44" s="250">
        <v>-0.18041244000000001</v>
      </c>
      <c r="J44" s="250"/>
      <c r="K44" s="250"/>
      <c r="L44" s="250"/>
      <c r="M44" s="250"/>
      <c r="N44" s="251">
        <v>-0.22529714000000001</v>
      </c>
      <c r="O44" s="273">
        <f t="shared" si="2"/>
        <v>-0.46740820000000005</v>
      </c>
      <c r="P44" s="2"/>
      <c r="Q44" s="9"/>
    </row>
    <row r="45" spans="2:17" hidden="1">
      <c r="B45" s="265" t="s">
        <v>268</v>
      </c>
      <c r="C45" s="252"/>
      <c r="D45" s="250"/>
      <c r="E45" s="250"/>
      <c r="F45" s="250"/>
      <c r="G45" s="250"/>
      <c r="H45" s="250"/>
      <c r="I45" s="250"/>
      <c r="J45" s="250"/>
      <c r="K45" s="250"/>
      <c r="L45" s="250"/>
      <c r="M45" s="250"/>
      <c r="N45" s="251"/>
      <c r="O45" s="273">
        <f t="shared" si="2"/>
        <v>0</v>
      </c>
      <c r="P45" s="2"/>
      <c r="Q45" s="9"/>
    </row>
    <row r="46" spans="2:17" ht="24.95" hidden="1" customHeight="1">
      <c r="B46" s="25" t="s">
        <v>269</v>
      </c>
      <c r="C46" s="244">
        <f>C9-C16</f>
        <v>22.439927290000014</v>
      </c>
      <c r="D46" s="245">
        <f>D9-D16</f>
        <v>22.048577249999937</v>
      </c>
      <c r="E46" s="245">
        <f t="shared" ref="E46:N46" si="9">E9-E16</f>
        <v>24.364614949999975</v>
      </c>
      <c r="F46" s="245">
        <f t="shared" si="9"/>
        <v>320.33336506300009</v>
      </c>
      <c r="G46" s="245">
        <f t="shared" si="9"/>
        <v>-89.63603114</v>
      </c>
      <c r="H46" s="245">
        <f t="shared" si="9"/>
        <v>-49.945637339999962</v>
      </c>
      <c r="I46" s="245">
        <f t="shared" si="9"/>
        <v>6.6744833469999776</v>
      </c>
      <c r="J46" s="245">
        <f t="shared" si="9"/>
        <v>39.807269150000025</v>
      </c>
      <c r="K46" s="245">
        <f t="shared" si="9"/>
        <v>30.76480570999999</v>
      </c>
      <c r="L46" s="245">
        <f t="shared" si="9"/>
        <v>37.269206259999919</v>
      </c>
      <c r="M46" s="245">
        <f t="shared" si="9"/>
        <v>-18.412250190000009</v>
      </c>
      <c r="N46" s="247">
        <f t="shared" si="9"/>
        <v>-33.847974590000035</v>
      </c>
      <c r="O46" s="271">
        <f t="shared" si="2"/>
        <v>311.86035575999995</v>
      </c>
      <c r="P46" s="2"/>
      <c r="Q46" s="9"/>
    </row>
    <row r="47" spans="2:17" ht="24.95" hidden="1" customHeight="1">
      <c r="B47" s="25" t="s">
        <v>296</v>
      </c>
      <c r="C47" s="252"/>
      <c r="D47" s="250"/>
      <c r="E47" s="250"/>
      <c r="F47" s="250"/>
      <c r="G47" s="250"/>
      <c r="H47" s="250"/>
      <c r="I47" s="250"/>
      <c r="J47" s="250"/>
      <c r="K47" s="250"/>
      <c r="L47" s="250"/>
      <c r="M47" s="250"/>
      <c r="N47" s="251"/>
      <c r="O47" s="273"/>
      <c r="P47" s="2"/>
      <c r="Q47" s="9"/>
    </row>
    <row r="48" spans="2:17" ht="18" hidden="1" customHeight="1">
      <c r="B48" s="272" t="s">
        <v>272</v>
      </c>
      <c r="C48" s="244">
        <f>C8-C15</f>
        <v>-29.09711999000001</v>
      </c>
      <c r="D48" s="245">
        <f>D8-D15</f>
        <v>-15.651965850000067</v>
      </c>
      <c r="E48" s="245">
        <f t="shared" ref="E48:N48" si="10">E8-E15</f>
        <v>-65.417206260000057</v>
      </c>
      <c r="F48" s="245">
        <f t="shared" si="10"/>
        <v>272.86974014300006</v>
      </c>
      <c r="G48" s="245">
        <f t="shared" si="10"/>
        <v>-176.72084360000002</v>
      </c>
      <c r="H48" s="245">
        <f t="shared" si="10"/>
        <v>-115.91782253999997</v>
      </c>
      <c r="I48" s="245">
        <f t="shared" si="10"/>
        <v>-54.911682112999983</v>
      </c>
      <c r="J48" s="245">
        <f t="shared" si="10"/>
        <v>11.839414840000018</v>
      </c>
      <c r="K48" s="245">
        <f t="shared" si="10"/>
        <v>-24.160323180000034</v>
      </c>
      <c r="L48" s="245">
        <f t="shared" si="10"/>
        <v>-9.5031615700001453</v>
      </c>
      <c r="M48" s="245">
        <f t="shared" si="10"/>
        <v>-101.70774263999999</v>
      </c>
      <c r="N48" s="247">
        <f t="shared" si="10"/>
        <v>-92.465697390000003</v>
      </c>
      <c r="O48" s="271">
        <f t="shared" si="2"/>
        <v>-400.84441015000021</v>
      </c>
      <c r="P48" s="2"/>
      <c r="Q48" s="9"/>
    </row>
    <row r="49" spans="2:17" ht="18" hidden="1" customHeight="1">
      <c r="B49" s="272" t="s">
        <v>273</v>
      </c>
      <c r="C49" s="244">
        <f>C48-C14</f>
        <v>-29.30611999000001</v>
      </c>
      <c r="D49" s="245">
        <f>D48-D14</f>
        <v>-15.736965850000068</v>
      </c>
      <c r="E49" s="245">
        <f t="shared" ref="E49:N49" si="11">E48-E14</f>
        <v>-68.974111920000055</v>
      </c>
      <c r="F49" s="245">
        <f t="shared" si="11"/>
        <v>268.36528401300006</v>
      </c>
      <c r="G49" s="245">
        <f t="shared" si="11"/>
        <v>-185.75131360000003</v>
      </c>
      <c r="H49" s="245">
        <f t="shared" si="11"/>
        <v>-118.37782253999997</v>
      </c>
      <c r="I49" s="245">
        <f t="shared" si="11"/>
        <v>-55.995115102999982</v>
      </c>
      <c r="J49" s="245">
        <f t="shared" si="11"/>
        <v>11.150365210000018</v>
      </c>
      <c r="K49" s="245">
        <f t="shared" si="11"/>
        <v>-24.797323180000035</v>
      </c>
      <c r="L49" s="245">
        <f t="shared" si="11"/>
        <v>-11.491364830000146</v>
      </c>
      <c r="M49" s="245">
        <f t="shared" si="11"/>
        <v>-104.19474263999999</v>
      </c>
      <c r="N49" s="247">
        <f t="shared" si="11"/>
        <v>-95.714416679999999</v>
      </c>
      <c r="O49" s="271">
        <f t="shared" si="2"/>
        <v>-430.82364711000019</v>
      </c>
      <c r="P49" s="2"/>
      <c r="Q49" s="9"/>
    </row>
    <row r="50" spans="2:17" ht="18" hidden="1" customHeight="1">
      <c r="B50" s="272" t="s">
        <v>274</v>
      </c>
      <c r="C50" s="244">
        <f>C48-C73</f>
        <v>-61.438209770000007</v>
      </c>
      <c r="D50" s="245">
        <f>D48-D73</f>
        <v>-49.038228060000066</v>
      </c>
      <c r="E50" s="245">
        <f t="shared" ref="E50:N50" si="12">E48-E73</f>
        <v>-98.063972120000059</v>
      </c>
      <c r="F50" s="245">
        <f t="shared" si="12"/>
        <v>240.01666073300004</v>
      </c>
      <c r="G50" s="245">
        <f t="shared" si="12"/>
        <v>-208.73240472000003</v>
      </c>
      <c r="H50" s="245">
        <f t="shared" si="12"/>
        <v>-149.43172971999996</v>
      </c>
      <c r="I50" s="245">
        <f t="shared" si="12"/>
        <v>-88.335267132999988</v>
      </c>
      <c r="J50" s="245">
        <f t="shared" si="12"/>
        <v>-20.701577149999984</v>
      </c>
      <c r="K50" s="245">
        <f t="shared" si="12"/>
        <v>-57.758128310000032</v>
      </c>
      <c r="L50" s="245">
        <f t="shared" si="12"/>
        <v>-42.763238570000141</v>
      </c>
      <c r="M50" s="245">
        <f t="shared" si="12"/>
        <v>-136.27622120000001</v>
      </c>
      <c r="N50" s="247">
        <f t="shared" si="12"/>
        <v>-147.66866277</v>
      </c>
      <c r="O50" s="271">
        <f t="shared" si="2"/>
        <v>-820.19097879000026</v>
      </c>
      <c r="P50" s="2"/>
      <c r="Q50" s="9"/>
    </row>
    <row r="51" spans="2:17" ht="24.95" hidden="1" customHeight="1">
      <c r="B51" s="25" t="s">
        <v>275</v>
      </c>
      <c r="C51" s="244">
        <f>SUM(C52:C53)</f>
        <v>-10.321906</v>
      </c>
      <c r="D51" s="245">
        <f>SUM(D52:D53)</f>
        <v>-4.9040929999999996</v>
      </c>
      <c r="E51" s="245">
        <f t="shared" ref="E51:N51" si="13">SUM(E52:E53)</f>
        <v>-3.3629060000000006</v>
      </c>
      <c r="F51" s="245">
        <f t="shared" si="13"/>
        <v>-6.4007633300000011</v>
      </c>
      <c r="G51" s="245">
        <f t="shared" si="13"/>
        <v>80.780459000000008</v>
      </c>
      <c r="H51" s="245">
        <f t="shared" si="13"/>
        <v>-3.0034960000000019</v>
      </c>
      <c r="I51" s="245">
        <f t="shared" si="13"/>
        <v>-14.631059</v>
      </c>
      <c r="J51" s="245">
        <f t="shared" si="13"/>
        <v>-13.087257000000001</v>
      </c>
      <c r="K51" s="245">
        <f t="shared" si="13"/>
        <v>-12.593999599999998</v>
      </c>
      <c r="L51" s="245">
        <f t="shared" si="13"/>
        <v>7.5999999999999979</v>
      </c>
      <c r="M51" s="245">
        <f t="shared" si="13"/>
        <v>95.646417999999997</v>
      </c>
      <c r="N51" s="247">
        <f t="shared" si="13"/>
        <v>806.39091100000007</v>
      </c>
      <c r="O51" s="271">
        <f t="shared" si="2"/>
        <v>922.11230807000004</v>
      </c>
      <c r="P51" s="2"/>
      <c r="Q51" s="9"/>
    </row>
    <row r="52" spans="2:17" hidden="1">
      <c r="B52" s="35" t="s">
        <v>276</v>
      </c>
      <c r="C52" s="252">
        <v>3.2198319999999998</v>
      </c>
      <c r="D52" s="250">
        <v>13.645526</v>
      </c>
      <c r="E52" s="250">
        <v>13.437094</v>
      </c>
      <c r="F52" s="250">
        <v>5.4761309999999996</v>
      </c>
      <c r="G52" s="250">
        <v>112.42075200000001</v>
      </c>
      <c r="H52" s="250">
        <v>20.546222999999998</v>
      </c>
      <c r="I52" s="250">
        <v>0.70039600000000002</v>
      </c>
      <c r="J52" s="250">
        <v>5.5412799999999995</v>
      </c>
      <c r="K52" s="250">
        <v>5.4690799999999999</v>
      </c>
      <c r="L52" s="250">
        <v>23.4</v>
      </c>
      <c r="M52" s="250">
        <v>128.783514</v>
      </c>
      <c r="N52" s="251">
        <v>833.17443000000003</v>
      </c>
      <c r="O52" s="273">
        <f t="shared" si="2"/>
        <v>1165.8142580000001</v>
      </c>
      <c r="P52" s="2"/>
      <c r="Q52" s="9"/>
    </row>
    <row r="53" spans="2:17" hidden="1">
      <c r="B53" s="35" t="s">
        <v>277</v>
      </c>
      <c r="C53" s="252">
        <v>-13.541738</v>
      </c>
      <c r="D53" s="250">
        <v>-18.549619</v>
      </c>
      <c r="E53" s="250">
        <v>-16.8</v>
      </c>
      <c r="F53" s="250">
        <v>-11.876894330000001</v>
      </c>
      <c r="G53" s="250">
        <v>-31.640293</v>
      </c>
      <c r="H53" s="250">
        <v>-23.549719</v>
      </c>
      <c r="I53" s="250">
        <v>-15.331455</v>
      </c>
      <c r="J53" s="250">
        <v>-18.628537000000001</v>
      </c>
      <c r="K53" s="250">
        <v>-18.063079599999998</v>
      </c>
      <c r="L53" s="250">
        <v>-15.8</v>
      </c>
      <c r="M53" s="250">
        <v>-33.137096</v>
      </c>
      <c r="N53" s="251">
        <v>-26.783518999999998</v>
      </c>
      <c r="O53" s="273">
        <f t="shared" si="2"/>
        <v>-243.70194993000001</v>
      </c>
      <c r="P53" s="2"/>
      <c r="Q53" s="9"/>
    </row>
    <row r="54" spans="2:17" ht="24.95" hidden="1" customHeight="1">
      <c r="B54" s="25" t="s">
        <v>278</v>
      </c>
      <c r="C54" s="244">
        <f>+C55+C58+C61+C64+C65</f>
        <v>39.419025990000016</v>
      </c>
      <c r="D54" s="245">
        <f>+D55+D58+D61+D64+D65</f>
        <v>20.55605885000007</v>
      </c>
      <c r="E54" s="245">
        <f t="shared" ref="E54:N54" si="14">+E55+E58+E61+E64+E65</f>
        <v>68.780112260000053</v>
      </c>
      <c r="F54" s="245">
        <f t="shared" si="14"/>
        <v>-266.46897681300004</v>
      </c>
      <c r="G54" s="245">
        <f t="shared" si="14"/>
        <v>95.940384600000002</v>
      </c>
      <c r="H54" s="245">
        <f t="shared" si="14"/>
        <v>118.92131853999994</v>
      </c>
      <c r="I54" s="245">
        <f t="shared" si="14"/>
        <v>69.542741112999977</v>
      </c>
      <c r="J54" s="245">
        <f t="shared" si="14"/>
        <v>1.2478421599999763</v>
      </c>
      <c r="K54" s="245">
        <f t="shared" si="14"/>
        <v>36.754322780000038</v>
      </c>
      <c r="L54" s="245">
        <f t="shared" si="14"/>
        <v>1.903161570000151</v>
      </c>
      <c r="M54" s="245">
        <f t="shared" si="14"/>
        <v>6.0613246399999738</v>
      </c>
      <c r="N54" s="247">
        <f t="shared" si="14"/>
        <v>-713.92521361000013</v>
      </c>
      <c r="O54" s="271">
        <f>SUM(C54:N54)</f>
        <v>-521.26789792</v>
      </c>
      <c r="P54" s="2"/>
      <c r="Q54" s="9"/>
    </row>
    <row r="55" spans="2:17" hidden="1">
      <c r="B55" s="35" t="s">
        <v>279</v>
      </c>
      <c r="C55" s="252">
        <f>+C56+C57</f>
        <v>39.922196</v>
      </c>
      <c r="D55" s="250">
        <f>+D56+D57</f>
        <v>14.186999999999999</v>
      </c>
      <c r="E55" s="250">
        <f t="shared" ref="E55:N55" si="15">+E56+E57</f>
        <v>-46.722000000000001</v>
      </c>
      <c r="F55" s="250">
        <f t="shared" si="15"/>
        <v>19.93871</v>
      </c>
      <c r="G55" s="250">
        <f t="shared" si="15"/>
        <v>-89.483440000000002</v>
      </c>
      <c r="H55" s="250">
        <f t="shared" si="15"/>
        <v>75.343999999999994</v>
      </c>
      <c r="I55" s="250">
        <f t="shared" si="15"/>
        <v>32.851999999999997</v>
      </c>
      <c r="J55" s="250">
        <f t="shared" si="15"/>
        <v>2.6160000000000001</v>
      </c>
      <c r="K55" s="250">
        <f t="shared" si="15"/>
        <v>-4.2469999999999999</v>
      </c>
      <c r="L55" s="250">
        <f t="shared" si="15"/>
        <v>-1.7033</v>
      </c>
      <c r="M55" s="250">
        <f t="shared" si="15"/>
        <v>-22.436</v>
      </c>
      <c r="N55" s="251">
        <f t="shared" si="15"/>
        <v>-779.96942100000001</v>
      </c>
      <c r="O55" s="273">
        <f t="shared" si="2"/>
        <v>-759.70125500000006</v>
      </c>
      <c r="P55" s="2"/>
      <c r="Q55" s="9"/>
    </row>
    <row r="56" spans="2:17" hidden="1">
      <c r="B56" s="265" t="s">
        <v>280</v>
      </c>
      <c r="C56" s="252"/>
      <c r="D56" s="250"/>
      <c r="E56" s="250"/>
      <c r="F56" s="250"/>
      <c r="G56" s="250"/>
      <c r="H56" s="250"/>
      <c r="I56" s="250"/>
      <c r="J56" s="250"/>
      <c r="K56" s="250"/>
      <c r="L56" s="250"/>
      <c r="M56" s="250"/>
      <c r="N56" s="251"/>
      <c r="O56" s="273">
        <f t="shared" si="2"/>
        <v>0</v>
      </c>
      <c r="P56" s="2"/>
      <c r="Q56" s="9"/>
    </row>
    <row r="57" spans="2:17" hidden="1">
      <c r="B57" s="265" t="s">
        <v>281</v>
      </c>
      <c r="C57" s="252">
        <v>39.922196</v>
      </c>
      <c r="D57" s="250">
        <v>14.186999999999999</v>
      </c>
      <c r="E57" s="250">
        <v>-46.722000000000001</v>
      </c>
      <c r="F57" s="250">
        <v>19.93871</v>
      </c>
      <c r="G57" s="250">
        <v>-89.483440000000002</v>
      </c>
      <c r="H57" s="250">
        <v>75.343999999999994</v>
      </c>
      <c r="I57" s="250">
        <v>32.851999999999997</v>
      </c>
      <c r="J57" s="250">
        <v>2.6160000000000001</v>
      </c>
      <c r="K57" s="250">
        <v>-4.2469999999999999</v>
      </c>
      <c r="L57" s="250">
        <v>-1.7033</v>
      </c>
      <c r="M57" s="250">
        <v>-22.436</v>
      </c>
      <c r="N57" s="251">
        <v>-779.96942100000001</v>
      </c>
      <c r="O57" s="273">
        <f t="shared" si="2"/>
        <v>-759.70125500000006</v>
      </c>
      <c r="P57" s="2"/>
      <c r="Q57" s="9"/>
    </row>
    <row r="58" spans="2:17" hidden="1">
      <c r="B58" s="35" t="s">
        <v>282</v>
      </c>
      <c r="C58" s="252">
        <f>+C59+C60</f>
        <v>-29.38</v>
      </c>
      <c r="D58" s="250">
        <f>+D59+D60</f>
        <v>11.908492230000004</v>
      </c>
      <c r="E58" s="250">
        <f t="shared" ref="E58:N58" si="16">+E59+E60</f>
        <v>46.403784129999998</v>
      </c>
      <c r="F58" s="250">
        <f t="shared" si="16"/>
        <v>-188.16829066</v>
      </c>
      <c r="G58" s="250">
        <f t="shared" si="16"/>
        <v>128.53759733999999</v>
      </c>
      <c r="H58" s="250">
        <f t="shared" si="16"/>
        <v>60.605041749999998</v>
      </c>
      <c r="I58" s="250">
        <f t="shared" si="16"/>
        <v>15.759243900000008</v>
      </c>
      <c r="J58" s="250">
        <f t="shared" si="16"/>
        <v>7.6130080299999996</v>
      </c>
      <c r="K58" s="250">
        <f t="shared" si="16"/>
        <v>15.800035759999997</v>
      </c>
      <c r="L58" s="250">
        <f t="shared" si="16"/>
        <v>2.4002661199999995</v>
      </c>
      <c r="M58" s="250">
        <f t="shared" si="16"/>
        <v>19.750430699999995</v>
      </c>
      <c r="N58" s="251">
        <f t="shared" si="16"/>
        <v>45.387262710000002</v>
      </c>
      <c r="O58" s="273">
        <f t="shared" si="2"/>
        <v>136.61687201000001</v>
      </c>
      <c r="P58" s="2"/>
      <c r="Q58" s="9"/>
    </row>
    <row r="59" spans="2:17" hidden="1">
      <c r="B59" s="265" t="s">
        <v>280</v>
      </c>
      <c r="C59" s="252"/>
      <c r="D59" s="250">
        <v>-12.571507769999997</v>
      </c>
      <c r="E59" s="250">
        <v>77.937784129999997</v>
      </c>
      <c r="F59" s="250">
        <v>-38.07229066</v>
      </c>
      <c r="G59" s="250">
        <v>4.9155973399999979</v>
      </c>
      <c r="H59" s="250">
        <v>36.52504175</v>
      </c>
      <c r="I59" s="250">
        <v>11.412243900000007</v>
      </c>
      <c r="J59" s="250">
        <v>-14.991991970000001</v>
      </c>
      <c r="K59" s="250">
        <v>-1.5799642400000025</v>
      </c>
      <c r="L59" s="250">
        <v>-9.8507338799999999</v>
      </c>
      <c r="M59" s="250">
        <v>22.771430699999996</v>
      </c>
      <c r="N59" s="251">
        <v>28.196262709999999</v>
      </c>
      <c r="O59" s="273">
        <f t="shared" si="2"/>
        <v>104.69187201</v>
      </c>
      <c r="P59" s="2"/>
      <c r="Q59" s="9"/>
    </row>
    <row r="60" spans="2:17" hidden="1">
      <c r="B60" s="265" t="s">
        <v>281</v>
      </c>
      <c r="C60" s="252">
        <v>-29.38</v>
      </c>
      <c r="D60" s="250">
        <v>24.48</v>
      </c>
      <c r="E60" s="250">
        <v>-31.533999999999999</v>
      </c>
      <c r="F60" s="250">
        <v>-150.096</v>
      </c>
      <c r="G60" s="250">
        <v>123.622</v>
      </c>
      <c r="H60" s="250">
        <v>24.08</v>
      </c>
      <c r="I60" s="250">
        <v>4.3470000000000004</v>
      </c>
      <c r="J60" s="250">
        <v>22.605</v>
      </c>
      <c r="K60" s="250">
        <v>17.38</v>
      </c>
      <c r="L60" s="250">
        <v>12.250999999999999</v>
      </c>
      <c r="M60" s="250">
        <v>-3.0209999999999999</v>
      </c>
      <c r="N60" s="251">
        <v>17.190999999999999</v>
      </c>
      <c r="O60" s="273">
        <f t="shared" si="2"/>
        <v>31.924999999999994</v>
      </c>
      <c r="P60" s="2"/>
      <c r="Q60" s="9"/>
    </row>
    <row r="61" spans="2:17" hidden="1">
      <c r="B61" s="35" t="s">
        <v>283</v>
      </c>
      <c r="C61" s="252">
        <f>+C62+C63</f>
        <v>0</v>
      </c>
      <c r="D61" s="250">
        <f>+D62+D63</f>
        <v>0</v>
      </c>
      <c r="E61" s="250">
        <f t="shared" ref="E61:N61" si="17">+E62+E63</f>
        <v>0</v>
      </c>
      <c r="F61" s="250">
        <f t="shared" si="17"/>
        <v>0</v>
      </c>
      <c r="G61" s="250">
        <f t="shared" si="17"/>
        <v>0</v>
      </c>
      <c r="H61" s="250">
        <f t="shared" si="17"/>
        <v>0</v>
      </c>
      <c r="I61" s="250">
        <f t="shared" si="17"/>
        <v>0</v>
      </c>
      <c r="J61" s="250">
        <f t="shared" si="17"/>
        <v>0</v>
      </c>
      <c r="K61" s="250">
        <f t="shared" si="17"/>
        <v>0</v>
      </c>
      <c r="L61" s="250">
        <f t="shared" si="17"/>
        <v>0</v>
      </c>
      <c r="M61" s="250">
        <f t="shared" si="17"/>
        <v>0</v>
      </c>
      <c r="N61" s="251">
        <f t="shared" si="17"/>
        <v>0</v>
      </c>
      <c r="O61" s="251">
        <f t="shared" si="2"/>
        <v>0</v>
      </c>
      <c r="P61" s="2"/>
      <c r="Q61" s="9"/>
    </row>
    <row r="62" spans="2:17" hidden="1">
      <c r="B62" s="265" t="s">
        <v>280</v>
      </c>
      <c r="C62" s="252"/>
      <c r="D62" s="250"/>
      <c r="E62" s="250"/>
      <c r="F62" s="250"/>
      <c r="G62" s="250"/>
      <c r="H62" s="250"/>
      <c r="I62" s="250"/>
      <c r="J62" s="250"/>
      <c r="K62" s="250"/>
      <c r="L62" s="250"/>
      <c r="M62" s="250"/>
      <c r="N62" s="251"/>
      <c r="O62" s="251">
        <f t="shared" si="2"/>
        <v>0</v>
      </c>
      <c r="P62" s="2"/>
      <c r="Q62" s="9"/>
    </row>
    <row r="63" spans="2:17" hidden="1">
      <c r="B63" s="265" t="s">
        <v>281</v>
      </c>
      <c r="C63" s="252"/>
      <c r="D63" s="250"/>
      <c r="E63" s="250"/>
      <c r="F63" s="250"/>
      <c r="G63" s="250"/>
      <c r="H63" s="250"/>
      <c r="I63" s="250"/>
      <c r="J63" s="250"/>
      <c r="K63" s="250"/>
      <c r="L63" s="250"/>
      <c r="M63" s="250"/>
      <c r="N63" s="251"/>
      <c r="O63" s="251">
        <f t="shared" si="2"/>
        <v>0</v>
      </c>
      <c r="P63" s="2"/>
      <c r="Q63" s="9"/>
    </row>
    <row r="64" spans="2:17" hidden="1">
      <c r="B64" s="35" t="s">
        <v>284</v>
      </c>
      <c r="C64" s="252">
        <v>27.824469669999999</v>
      </c>
      <c r="D64" s="250">
        <v>48.800687289999999</v>
      </c>
      <c r="E64" s="250">
        <v>84.625461709999996</v>
      </c>
      <c r="F64" s="250">
        <v>-5.4409753399999943</v>
      </c>
      <c r="G64" s="250">
        <v>12.024402819999992</v>
      </c>
      <c r="H64" s="250">
        <v>35.842205589999999</v>
      </c>
      <c r="I64" s="250">
        <v>63.197557270000004</v>
      </c>
      <c r="J64" s="250">
        <v>49.358347850000008</v>
      </c>
      <c r="K64" s="250">
        <v>47.14852977999999</v>
      </c>
      <c r="L64" s="250">
        <v>50.906134500000007</v>
      </c>
      <c r="M64" s="250">
        <v>44.549468200000007</v>
      </c>
      <c r="N64" s="251">
        <v>85.343539429999993</v>
      </c>
      <c r="O64" s="251">
        <f t="shared" si="2"/>
        <v>544.17982876999997</v>
      </c>
      <c r="P64" s="2"/>
      <c r="Q64" s="9"/>
    </row>
    <row r="65" spans="2:17" hidden="1">
      <c r="B65" s="35" t="s">
        <v>285</v>
      </c>
      <c r="C65" s="252">
        <f>SUM(C66:C70)</f>
        <v>1.0523603200000125</v>
      </c>
      <c r="D65" s="250">
        <f>SUM(D66:D70)</f>
        <v>-54.340120669999934</v>
      </c>
      <c r="E65" s="250">
        <f t="shared" ref="E65:N65" si="18">SUM(E66:E70)</f>
        <v>-15.527133579999941</v>
      </c>
      <c r="F65" s="250">
        <f t="shared" si="18"/>
        <v>-92.79842081300005</v>
      </c>
      <c r="G65" s="250">
        <f t="shared" si="18"/>
        <v>44.861824440000021</v>
      </c>
      <c r="H65" s="250">
        <f t="shared" si="18"/>
        <v>-52.869928800000039</v>
      </c>
      <c r="I65" s="250">
        <f t="shared" si="18"/>
        <v>-42.266060057000033</v>
      </c>
      <c r="J65" s="250">
        <f t="shared" si="18"/>
        <v>-58.339513720000028</v>
      </c>
      <c r="K65" s="250">
        <f t="shared" si="18"/>
        <v>-21.947242759999952</v>
      </c>
      <c r="L65" s="250">
        <f t="shared" si="18"/>
        <v>-49.699939049999855</v>
      </c>
      <c r="M65" s="250">
        <f t="shared" si="18"/>
        <v>-35.802574260000029</v>
      </c>
      <c r="N65" s="251">
        <f t="shared" si="18"/>
        <v>-64.68659475000004</v>
      </c>
      <c r="O65" s="273">
        <f t="shared" si="2"/>
        <v>-442.36334369999986</v>
      </c>
      <c r="P65" s="2"/>
      <c r="Q65" s="9"/>
    </row>
    <row r="66" spans="2:17" hidden="1">
      <c r="B66" s="265" t="s">
        <v>286</v>
      </c>
      <c r="C66" s="252"/>
      <c r="D66" s="250"/>
      <c r="E66" s="250"/>
      <c r="F66" s="250"/>
      <c r="G66" s="250"/>
      <c r="H66" s="250"/>
      <c r="I66" s="250"/>
      <c r="J66" s="250"/>
      <c r="K66" s="250"/>
      <c r="L66" s="250"/>
      <c r="M66" s="250"/>
      <c r="N66" s="251"/>
      <c r="O66" s="273">
        <f t="shared" si="2"/>
        <v>0</v>
      </c>
      <c r="P66" s="2"/>
      <c r="Q66" s="9"/>
    </row>
    <row r="67" spans="2:17" hidden="1">
      <c r="B67" s="265" t="s">
        <v>287</v>
      </c>
      <c r="C67" s="252"/>
      <c r="D67" s="250"/>
      <c r="E67" s="250"/>
      <c r="F67" s="250"/>
      <c r="G67" s="250"/>
      <c r="H67" s="250"/>
      <c r="I67" s="250"/>
      <c r="J67" s="250"/>
      <c r="K67" s="250"/>
      <c r="L67" s="250"/>
      <c r="M67" s="250"/>
      <c r="N67" s="251"/>
      <c r="O67" s="273">
        <f t="shared" si="2"/>
        <v>0</v>
      </c>
      <c r="P67" s="2"/>
      <c r="Q67" s="9"/>
    </row>
    <row r="68" spans="2:17" hidden="1">
      <c r="B68" s="265" t="s">
        <v>288</v>
      </c>
      <c r="C68" s="252"/>
      <c r="D68" s="250"/>
      <c r="E68" s="250"/>
      <c r="F68" s="250"/>
      <c r="G68" s="250"/>
      <c r="H68" s="250"/>
      <c r="I68" s="250"/>
      <c r="J68" s="250"/>
      <c r="K68" s="250"/>
      <c r="L68" s="250"/>
      <c r="M68" s="250"/>
      <c r="N68" s="251"/>
      <c r="O68" s="273">
        <f t="shared" si="2"/>
        <v>0</v>
      </c>
      <c r="P68" s="2"/>
      <c r="Q68" s="9"/>
    </row>
    <row r="69" spans="2:17" hidden="1">
      <c r="B69" s="265" t="s">
        <v>289</v>
      </c>
      <c r="C69" s="252">
        <v>-32.341089779999997</v>
      </c>
      <c r="D69" s="250">
        <v>-33.386262209999998</v>
      </c>
      <c r="E69" s="250">
        <v>-32.646765860000002</v>
      </c>
      <c r="F69" s="250">
        <v>-32.853079410000007</v>
      </c>
      <c r="G69" s="250">
        <v>-32.011561119999996</v>
      </c>
      <c r="H69" s="250">
        <v>-33.513907180000004</v>
      </c>
      <c r="I69" s="250">
        <v>-33.423585020000004</v>
      </c>
      <c r="J69" s="250">
        <v>-32.540991990000002</v>
      </c>
      <c r="K69" s="250">
        <v>-33.597805129999998</v>
      </c>
      <c r="L69" s="250">
        <v>-33.260076999999995</v>
      </c>
      <c r="M69" s="250">
        <v>-34.568478560000003</v>
      </c>
      <c r="N69" s="251">
        <v>-55.202965379999995</v>
      </c>
      <c r="O69" s="273">
        <f t="shared" si="2"/>
        <v>-419.34656863999999</v>
      </c>
      <c r="P69" s="2"/>
      <c r="Q69" s="9"/>
    </row>
    <row r="70" spans="2:17" hidden="1">
      <c r="B70" s="265" t="s">
        <v>285</v>
      </c>
      <c r="C70" s="252">
        <v>33.39345010000001</v>
      </c>
      <c r="D70" s="250">
        <v>-20.953858459999935</v>
      </c>
      <c r="E70" s="250">
        <v>17.119632280000062</v>
      </c>
      <c r="F70" s="250">
        <v>-59.945341403000043</v>
      </c>
      <c r="G70" s="250">
        <v>76.873385560000017</v>
      </c>
      <c r="H70" s="250">
        <v>-19.356021620000035</v>
      </c>
      <c r="I70" s="250">
        <v>-8.8424750370000282</v>
      </c>
      <c r="J70" s="250">
        <v>-25.798521730000026</v>
      </c>
      <c r="K70" s="250">
        <v>11.650562370000046</v>
      </c>
      <c r="L70" s="250">
        <v>-16.43986204999986</v>
      </c>
      <c r="M70" s="250">
        <v>-1.2340957000000259</v>
      </c>
      <c r="N70" s="251">
        <v>-9.4836293700000454</v>
      </c>
      <c r="O70" s="273">
        <f t="shared" si="2"/>
        <v>-23.016775059999866</v>
      </c>
      <c r="P70" s="2"/>
      <c r="Q70" s="9"/>
    </row>
    <row r="71" spans="2:17" ht="24.95" hidden="1" customHeight="1">
      <c r="B71" s="25" t="s">
        <v>290</v>
      </c>
      <c r="C71" s="244">
        <f>-C48-C51-C54</f>
        <v>0</v>
      </c>
      <c r="D71" s="245">
        <f>-D48-D51-D54</f>
        <v>0</v>
      </c>
      <c r="E71" s="245">
        <f t="shared" ref="E71:N71" si="19">-E48-E51-E54</f>
        <v>0</v>
      </c>
      <c r="F71" s="245">
        <f t="shared" si="19"/>
        <v>0</v>
      </c>
      <c r="G71" s="245">
        <f t="shared" si="19"/>
        <v>0</v>
      </c>
      <c r="H71" s="245">
        <f t="shared" si="19"/>
        <v>0</v>
      </c>
      <c r="I71" s="245">
        <f t="shared" si="19"/>
        <v>0</v>
      </c>
      <c r="J71" s="245">
        <f t="shared" si="19"/>
        <v>7.1054273576010019E-15</v>
      </c>
      <c r="K71" s="245">
        <f t="shared" si="19"/>
        <v>0</v>
      </c>
      <c r="L71" s="245">
        <f t="shared" si="19"/>
        <v>-3.5527136788005009E-15</v>
      </c>
      <c r="M71" s="245">
        <f t="shared" si="19"/>
        <v>2.1316282072803006E-14</v>
      </c>
      <c r="N71" s="247">
        <f t="shared" si="19"/>
        <v>0</v>
      </c>
      <c r="O71" s="271">
        <f t="shared" si="2"/>
        <v>2.4868995751603507E-14</v>
      </c>
      <c r="P71" s="2"/>
      <c r="Q71" s="9"/>
    </row>
    <row r="72" spans="2:17" hidden="1">
      <c r="B72" s="42"/>
      <c r="C72" s="252"/>
      <c r="D72" s="250"/>
      <c r="E72" s="250"/>
      <c r="F72" s="250"/>
      <c r="G72" s="250"/>
      <c r="H72" s="250"/>
      <c r="I72" s="250"/>
      <c r="J72" s="250"/>
      <c r="K72" s="250"/>
      <c r="L72" s="250"/>
      <c r="M72" s="250"/>
      <c r="N72" s="251"/>
      <c r="O72" s="273"/>
      <c r="P72" s="2"/>
      <c r="Q72" s="9"/>
    </row>
    <row r="73" spans="2:17" ht="24.95" hidden="1" customHeight="1">
      <c r="B73" s="25" t="s">
        <v>291</v>
      </c>
      <c r="C73" s="244">
        <v>32.341089779999997</v>
      </c>
      <c r="D73" s="245">
        <v>33.386262209999998</v>
      </c>
      <c r="E73" s="245">
        <v>32.646765860000002</v>
      </c>
      <c r="F73" s="245">
        <v>32.853079410000007</v>
      </c>
      <c r="G73" s="245">
        <v>32.011561119999996</v>
      </c>
      <c r="H73" s="245">
        <v>33.513907180000004</v>
      </c>
      <c r="I73" s="245">
        <v>33.423585020000004</v>
      </c>
      <c r="J73" s="245">
        <v>32.540991990000002</v>
      </c>
      <c r="K73" s="245">
        <v>33.597805129999998</v>
      </c>
      <c r="L73" s="245">
        <v>33.260076999999995</v>
      </c>
      <c r="M73" s="245">
        <v>34.568478560000003</v>
      </c>
      <c r="N73" s="247">
        <v>55.202965379999995</v>
      </c>
      <c r="O73" s="271">
        <f>SUM(C73:N73)</f>
        <v>419.34656863999999</v>
      </c>
      <c r="P73" s="2"/>
      <c r="Q73" s="9"/>
    </row>
    <row r="74" spans="2:17" ht="24.95" hidden="1" customHeight="1">
      <c r="B74" s="25" t="s">
        <v>292</v>
      </c>
      <c r="C74" s="277"/>
      <c r="D74" s="278"/>
      <c r="E74" s="278"/>
      <c r="F74" s="278"/>
      <c r="G74" s="278"/>
      <c r="H74" s="278"/>
      <c r="I74" s="278"/>
      <c r="J74" s="278"/>
      <c r="K74" s="278"/>
      <c r="L74" s="278"/>
      <c r="M74" s="278"/>
      <c r="N74" s="273"/>
      <c r="O74" s="273">
        <f>SUM(C74:N74)</f>
        <v>0</v>
      </c>
      <c r="P74" s="2"/>
      <c r="Q74" s="9"/>
    </row>
    <row r="75" spans="2:17" ht="24.95" hidden="1" customHeight="1">
      <c r="B75" s="38" t="s">
        <v>56</v>
      </c>
      <c r="C75" s="279"/>
      <c r="D75" s="280"/>
      <c r="E75" s="280"/>
      <c r="F75" s="280"/>
      <c r="G75" s="280"/>
      <c r="H75" s="280"/>
      <c r="I75" s="280"/>
      <c r="J75" s="280"/>
      <c r="K75" s="280"/>
      <c r="L75" s="280"/>
      <c r="M75" s="280"/>
      <c r="N75" s="281"/>
      <c r="O75" s="267">
        <v>21386.15</v>
      </c>
      <c r="P75" s="2"/>
      <c r="Q75" s="9"/>
    </row>
    <row r="76" spans="2:17" ht="6" customHeight="1">
      <c r="B76" s="2"/>
      <c r="C76" s="2"/>
      <c r="D76" s="2"/>
      <c r="E76" s="2"/>
      <c r="F76" s="2"/>
      <c r="G76" s="2"/>
      <c r="H76" s="2"/>
      <c r="I76" s="2"/>
      <c r="J76" s="2"/>
      <c r="K76" s="2"/>
      <c r="L76" s="2"/>
      <c r="M76" s="2"/>
      <c r="N76" s="2"/>
      <c r="O76" s="2"/>
      <c r="P76" s="2"/>
      <c r="Q76" s="9"/>
    </row>
    <row r="77" spans="2:17">
      <c r="B77" s="2" t="s">
        <v>293</v>
      </c>
      <c r="C77" s="2"/>
      <c r="D77" s="2"/>
      <c r="E77" s="2"/>
      <c r="F77" s="2"/>
      <c r="G77" s="2"/>
      <c r="H77" s="2"/>
      <c r="I77" s="2"/>
      <c r="J77" s="2"/>
      <c r="K77" s="2"/>
      <c r="L77" s="2"/>
      <c r="M77" s="2"/>
      <c r="N77" s="2"/>
      <c r="O77" s="2"/>
      <c r="P77" s="2"/>
      <c r="Q77" s="9"/>
    </row>
    <row r="78" spans="2:17">
      <c r="B78" s="2"/>
      <c r="C78" s="2"/>
      <c r="D78" s="2"/>
      <c r="E78" s="2"/>
      <c r="F78" s="2"/>
      <c r="G78" s="2"/>
      <c r="H78" s="2"/>
      <c r="I78" s="2"/>
      <c r="J78" s="2"/>
      <c r="K78" s="2"/>
      <c r="L78" s="2"/>
      <c r="M78" s="2"/>
      <c r="N78" s="2"/>
      <c r="O78" s="2"/>
      <c r="P78" s="2"/>
      <c r="Q78" s="9"/>
    </row>
  </sheetData>
  <printOptions horizontalCentered="1"/>
  <pageMargins left="0.7" right="0.7" top="0.75" bottom="0.75" header="0.3" footer="0.3"/>
  <pageSetup scale="71" orientation="landscape" r:id="rId1"/>
  <ignoredErrors>
    <ignoredError sqref="C9:N9"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Q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s>
  <sheetData>
    <row r="2" spans="2:16">
      <c r="B2" s="234" t="s">
        <v>18</v>
      </c>
      <c r="C2" s="2"/>
      <c r="D2" s="2"/>
      <c r="E2" s="2"/>
      <c r="F2" s="2"/>
      <c r="G2" s="2"/>
      <c r="H2" s="2"/>
      <c r="I2" s="2"/>
      <c r="J2" s="2"/>
      <c r="K2" s="2"/>
      <c r="L2" s="2"/>
      <c r="M2" s="2"/>
      <c r="N2" s="2"/>
      <c r="O2" s="2"/>
      <c r="P2" s="2"/>
    </row>
    <row r="3" spans="2:16">
      <c r="B3" s="234" t="s">
        <v>303</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304</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378.71774209</v>
      </c>
      <c r="D8" s="246">
        <f>+D9+D13+D14</f>
        <v>284.21652927000008</v>
      </c>
      <c r="E8" s="246">
        <f t="shared" ref="E8:N8" si="0">+E9+E13+E14</f>
        <v>295.16385613</v>
      </c>
      <c r="F8" s="246">
        <f t="shared" si="0"/>
        <v>670.27512677000004</v>
      </c>
      <c r="G8" s="246">
        <f t="shared" si="0"/>
        <v>329.69258496000009</v>
      </c>
      <c r="H8" s="246">
        <f t="shared" si="0"/>
        <v>298.45277233000007</v>
      </c>
      <c r="I8" s="246">
        <f t="shared" si="0"/>
        <v>326.34078952000004</v>
      </c>
      <c r="J8" s="246">
        <f t="shared" si="0"/>
        <v>301.21185310000004</v>
      </c>
      <c r="K8" s="246">
        <f t="shared" si="0"/>
        <v>281.49737004000008</v>
      </c>
      <c r="L8" s="246">
        <f t="shared" si="0"/>
        <v>319.49714517999996</v>
      </c>
      <c r="M8" s="246">
        <f t="shared" si="0"/>
        <v>306.84636252000001</v>
      </c>
      <c r="N8" s="271">
        <f t="shared" si="0"/>
        <v>322.07372657999986</v>
      </c>
      <c r="O8" s="271">
        <f>SUM(C8:N8)</f>
        <v>4113.9858584900012</v>
      </c>
      <c r="P8" s="2"/>
    </row>
    <row r="9" spans="2:16" ht="18" customHeight="1">
      <c r="B9" s="272" t="s">
        <v>240</v>
      </c>
      <c r="C9" s="270">
        <f>SUM(C10:C12)</f>
        <v>378.14923916999999</v>
      </c>
      <c r="D9" s="246">
        <f>SUM(D10:D12)</f>
        <v>282.10682937000007</v>
      </c>
      <c r="E9" s="246">
        <f t="shared" ref="E9:N9" si="1">SUM(E10:E12)</f>
        <v>293.95004193</v>
      </c>
      <c r="F9" s="246">
        <f t="shared" si="1"/>
        <v>667.58685530000002</v>
      </c>
      <c r="G9" s="246">
        <f t="shared" si="1"/>
        <v>328.12596897000009</v>
      </c>
      <c r="H9" s="246">
        <f t="shared" si="1"/>
        <v>295.31195141000006</v>
      </c>
      <c r="I9" s="246">
        <f t="shared" si="1"/>
        <v>323.26110671000004</v>
      </c>
      <c r="J9" s="246">
        <f t="shared" si="1"/>
        <v>298.42815310000003</v>
      </c>
      <c r="K9" s="246">
        <f t="shared" si="1"/>
        <v>280.59537004000009</v>
      </c>
      <c r="L9" s="246">
        <f t="shared" si="1"/>
        <v>318.02930055999997</v>
      </c>
      <c r="M9" s="246">
        <f t="shared" si="1"/>
        <v>302.76630561000002</v>
      </c>
      <c r="N9" s="271">
        <f t="shared" si="1"/>
        <v>320.36310330999987</v>
      </c>
      <c r="O9" s="271">
        <f>SUM(C9:N9)</f>
        <v>4088.6742254800006</v>
      </c>
      <c r="P9" s="2"/>
    </row>
    <row r="10" spans="2:16">
      <c r="B10" s="265" t="s">
        <v>241</v>
      </c>
      <c r="C10" s="277">
        <v>365.39543524999999</v>
      </c>
      <c r="D10" s="278">
        <v>273.02327061000005</v>
      </c>
      <c r="E10" s="278">
        <v>283.26428893000002</v>
      </c>
      <c r="F10" s="278">
        <v>655.07278097000005</v>
      </c>
      <c r="G10" s="278">
        <v>307.10556570000006</v>
      </c>
      <c r="H10" s="278">
        <v>284.29572649000005</v>
      </c>
      <c r="I10" s="278">
        <v>312.72773884000003</v>
      </c>
      <c r="J10" s="278">
        <v>287.74144178</v>
      </c>
      <c r="K10" s="278">
        <v>271.25409295000009</v>
      </c>
      <c r="L10" s="278">
        <v>308.33929178999995</v>
      </c>
      <c r="M10" s="278">
        <v>293.09155720000001</v>
      </c>
      <c r="N10" s="273">
        <v>302.78450239999989</v>
      </c>
      <c r="O10" s="273">
        <f>SUM(C10:N10)</f>
        <v>3944.0956929100007</v>
      </c>
      <c r="P10" s="2"/>
    </row>
    <row r="11" spans="2:16">
      <c r="B11" s="265" t="s">
        <v>242</v>
      </c>
      <c r="C11" s="277">
        <v>12.753803919999999</v>
      </c>
      <c r="D11" s="278">
        <v>9.083558759999999</v>
      </c>
      <c r="E11" s="278">
        <v>10.685753000000002</v>
      </c>
      <c r="F11" s="278">
        <v>12.51407433</v>
      </c>
      <c r="G11" s="278">
        <v>11.24239854</v>
      </c>
      <c r="H11" s="278">
        <v>11.016224919999999</v>
      </c>
      <c r="I11" s="278">
        <v>10.533367870000001</v>
      </c>
      <c r="J11" s="278">
        <v>10.686711320000001</v>
      </c>
      <c r="K11" s="278">
        <v>9.3412770900000002</v>
      </c>
      <c r="L11" s="278">
        <v>9.6900087700000004</v>
      </c>
      <c r="M11" s="278">
        <v>9.6747484099999994</v>
      </c>
      <c r="N11" s="273">
        <v>17.578600910000002</v>
      </c>
      <c r="O11" s="273">
        <f t="shared" ref="O11:O71" si="2">SUM(C11:N11)</f>
        <v>134.80052784000003</v>
      </c>
      <c r="P11" s="2"/>
    </row>
    <row r="12" spans="2:16">
      <c r="B12" s="265" t="s">
        <v>243</v>
      </c>
      <c r="C12" s="277">
        <v>0</v>
      </c>
      <c r="D12" s="278">
        <v>0</v>
      </c>
      <c r="E12" s="278">
        <v>0</v>
      </c>
      <c r="F12" s="278">
        <v>0</v>
      </c>
      <c r="G12" s="278">
        <v>9.7780047299999993</v>
      </c>
      <c r="H12" s="278">
        <v>0</v>
      </c>
      <c r="I12" s="278">
        <v>0</v>
      </c>
      <c r="J12" s="278">
        <v>0</v>
      </c>
      <c r="K12" s="278">
        <v>0</v>
      </c>
      <c r="L12" s="278">
        <v>0</v>
      </c>
      <c r="M12" s="278">
        <v>0</v>
      </c>
      <c r="N12" s="273">
        <v>0</v>
      </c>
      <c r="O12" s="273">
        <f t="shared" si="2"/>
        <v>9.7780047299999993</v>
      </c>
      <c r="P12" s="2"/>
    </row>
    <row r="13" spans="2:16" ht="18" customHeight="1">
      <c r="B13" s="272" t="s">
        <v>244</v>
      </c>
      <c r="C13" s="270">
        <v>0</v>
      </c>
      <c r="D13" s="246">
        <v>0</v>
      </c>
      <c r="E13" s="246">
        <v>0</v>
      </c>
      <c r="F13" s="246">
        <v>6.5859999999999998E-3</v>
      </c>
      <c r="G13" s="246">
        <v>0</v>
      </c>
      <c r="H13" s="246">
        <v>0</v>
      </c>
      <c r="I13" s="246">
        <v>0</v>
      </c>
      <c r="J13" s="246">
        <v>0</v>
      </c>
      <c r="K13" s="246">
        <v>0</v>
      </c>
      <c r="L13" s="246">
        <v>3.9680000000000002E-3</v>
      </c>
      <c r="M13" s="246">
        <v>0</v>
      </c>
      <c r="N13" s="271">
        <v>0</v>
      </c>
      <c r="O13" s="271">
        <f t="shared" si="2"/>
        <v>1.0554000000000001E-2</v>
      </c>
      <c r="P13" s="2"/>
    </row>
    <row r="14" spans="2:16" ht="18" customHeight="1">
      <c r="B14" s="272" t="s">
        <v>245</v>
      </c>
      <c r="C14" s="270">
        <v>0.56850291999999991</v>
      </c>
      <c r="D14" s="246">
        <v>2.1096998999999999</v>
      </c>
      <c r="E14" s="246">
        <v>1.2138141999999998</v>
      </c>
      <c r="F14" s="246">
        <v>2.6816854700000001</v>
      </c>
      <c r="G14" s="246">
        <v>1.5666159899999996</v>
      </c>
      <c r="H14" s="246">
        <v>3.1408209199999999</v>
      </c>
      <c r="I14" s="246">
        <v>3.07968281</v>
      </c>
      <c r="J14" s="246">
        <v>2.7837000000000001</v>
      </c>
      <c r="K14" s="246">
        <v>0.90200000000000002</v>
      </c>
      <c r="L14" s="246">
        <v>1.4638766199999997</v>
      </c>
      <c r="M14" s="246">
        <v>4.0800569100000006</v>
      </c>
      <c r="N14" s="271">
        <v>1.7106232700000001</v>
      </c>
      <c r="O14" s="271">
        <f t="shared" si="2"/>
        <v>25.301079009999999</v>
      </c>
      <c r="P14" s="2"/>
    </row>
    <row r="15" spans="2:16" ht="24.95" customHeight="1">
      <c r="B15" s="25" t="s">
        <v>246</v>
      </c>
      <c r="C15" s="270">
        <f>+C16+C29+C40</f>
        <v>398.80133230999996</v>
      </c>
      <c r="D15" s="246">
        <f>+D16+D29+D40</f>
        <v>344.57357225000004</v>
      </c>
      <c r="E15" s="246">
        <f t="shared" ref="E15:N15" si="3">+E16+E29+E40</f>
        <v>319.82618729000001</v>
      </c>
      <c r="F15" s="246">
        <f t="shared" si="3"/>
        <v>406.21969405999994</v>
      </c>
      <c r="G15" s="246">
        <f t="shared" si="3"/>
        <v>491.08927361899998</v>
      </c>
      <c r="H15" s="246">
        <f t="shared" si="3"/>
        <v>402.36105909600002</v>
      </c>
      <c r="I15" s="246">
        <f t="shared" si="3"/>
        <v>416.44653696</v>
      </c>
      <c r="J15" s="246">
        <f t="shared" si="3"/>
        <v>347.39435994999997</v>
      </c>
      <c r="K15" s="246">
        <f t="shared" si="3"/>
        <v>329.61927027000002</v>
      </c>
      <c r="L15" s="246">
        <f t="shared" si="3"/>
        <v>324.98627379999999</v>
      </c>
      <c r="M15" s="246">
        <f t="shared" si="3"/>
        <v>342.76578983999997</v>
      </c>
      <c r="N15" s="271">
        <f t="shared" si="3"/>
        <v>435.52992186000006</v>
      </c>
      <c r="O15" s="271">
        <f t="shared" si="2"/>
        <v>4559.613271305001</v>
      </c>
      <c r="P15" s="2"/>
    </row>
    <row r="16" spans="2:16" ht="18" customHeight="1">
      <c r="B16" s="272" t="s">
        <v>247</v>
      </c>
      <c r="C16" s="270">
        <f>SUM(C17:C20)</f>
        <v>335.23693410999999</v>
      </c>
      <c r="D16" s="246">
        <f>SUM(D17:D20)</f>
        <v>276.17787855</v>
      </c>
      <c r="E16" s="246">
        <f t="shared" ref="E16:N16" si="4">SUM(E17:E20)</f>
        <v>248.24546900000001</v>
      </c>
      <c r="F16" s="246">
        <f t="shared" si="4"/>
        <v>330.27623888999995</v>
      </c>
      <c r="G16" s="246">
        <f t="shared" si="4"/>
        <v>398.62153468899999</v>
      </c>
      <c r="H16" s="246">
        <f t="shared" si="4"/>
        <v>340.435416756</v>
      </c>
      <c r="I16" s="246">
        <f t="shared" si="4"/>
        <v>352.48261372000002</v>
      </c>
      <c r="J16" s="246">
        <f t="shared" si="4"/>
        <v>287.80485069999997</v>
      </c>
      <c r="K16" s="246">
        <f t="shared" si="4"/>
        <v>257.30164424000003</v>
      </c>
      <c r="L16" s="246">
        <f t="shared" si="4"/>
        <v>264.84239577</v>
      </c>
      <c r="M16" s="246">
        <f t="shared" si="4"/>
        <v>273.29971910999996</v>
      </c>
      <c r="N16" s="271">
        <f t="shared" si="4"/>
        <v>369.75745549999999</v>
      </c>
      <c r="O16" s="271">
        <f t="shared" si="2"/>
        <v>3734.4821510349993</v>
      </c>
      <c r="P16" s="2"/>
    </row>
    <row r="17" spans="2:17">
      <c r="B17" s="265" t="s">
        <v>136</v>
      </c>
      <c r="C17" s="277">
        <v>108.39989024</v>
      </c>
      <c r="D17" s="278">
        <v>108.27126991</v>
      </c>
      <c r="E17" s="278">
        <v>109.64175184</v>
      </c>
      <c r="F17" s="278">
        <v>123.16332245</v>
      </c>
      <c r="G17" s="278">
        <v>107.64347521000001</v>
      </c>
      <c r="H17" s="278">
        <v>112.17759406</v>
      </c>
      <c r="I17" s="278">
        <v>111.52645939000001</v>
      </c>
      <c r="J17" s="278">
        <v>120.03419486</v>
      </c>
      <c r="K17" s="278">
        <v>96.952895440000006</v>
      </c>
      <c r="L17" s="278">
        <v>104.56818498999999</v>
      </c>
      <c r="M17" s="278">
        <v>106.41552938000001</v>
      </c>
      <c r="N17" s="273">
        <v>171.21600286999998</v>
      </c>
      <c r="O17" s="273">
        <f t="shared" si="2"/>
        <v>1380.01057064</v>
      </c>
      <c r="P17" s="2"/>
    </row>
    <row r="18" spans="2:17">
      <c r="B18" s="265" t="s">
        <v>248</v>
      </c>
      <c r="C18" s="277">
        <v>43.737722879999993</v>
      </c>
      <c r="D18" s="278">
        <v>50.272752420000003</v>
      </c>
      <c r="E18" s="278">
        <v>32.112825869999995</v>
      </c>
      <c r="F18" s="278">
        <v>53.638602560000002</v>
      </c>
      <c r="G18" s="278">
        <v>91.78755649</v>
      </c>
      <c r="H18" s="278">
        <v>57.425092020000008</v>
      </c>
      <c r="I18" s="278">
        <v>40.289737419999994</v>
      </c>
      <c r="J18" s="278">
        <v>39.74859635</v>
      </c>
      <c r="K18" s="278">
        <v>38.626809680000001</v>
      </c>
      <c r="L18" s="278">
        <v>30.776124420000002</v>
      </c>
      <c r="M18" s="278">
        <v>40.585226619999993</v>
      </c>
      <c r="N18" s="273">
        <v>35.025729490000003</v>
      </c>
      <c r="O18" s="273">
        <f t="shared" si="2"/>
        <v>554.02677621999999</v>
      </c>
      <c r="P18" s="2"/>
    </row>
    <row r="19" spans="2:17">
      <c r="B19" s="265" t="s">
        <v>249</v>
      </c>
      <c r="C19" s="277">
        <v>89.433076119999996</v>
      </c>
      <c r="D19" s="278">
        <v>29.082252369999999</v>
      </c>
      <c r="E19" s="278">
        <v>22.30920836</v>
      </c>
      <c r="F19" s="278">
        <v>41.354493349999998</v>
      </c>
      <c r="G19" s="278">
        <v>39.1775284</v>
      </c>
      <c r="H19" s="278">
        <v>67.14366047</v>
      </c>
      <c r="I19" s="278">
        <v>102.01988772</v>
      </c>
      <c r="J19" s="278">
        <v>28.255737549999999</v>
      </c>
      <c r="K19" s="278">
        <v>24.635708759999996</v>
      </c>
      <c r="L19" s="278">
        <v>44.391184940000002</v>
      </c>
      <c r="M19" s="278">
        <v>39.105381989999998</v>
      </c>
      <c r="N19" s="273">
        <v>55.791976569999996</v>
      </c>
      <c r="O19" s="273">
        <f t="shared" si="2"/>
        <v>582.70009659999994</v>
      </c>
      <c r="P19" s="2"/>
    </row>
    <row r="20" spans="2:17">
      <c r="B20" s="265" t="s">
        <v>250</v>
      </c>
      <c r="C20" s="277">
        <f>SUM(C21:C28)</f>
        <v>93.66624487</v>
      </c>
      <c r="D20" s="278">
        <f>SUM(D21:D28)</f>
        <v>88.551603850000006</v>
      </c>
      <c r="E20" s="278">
        <f t="shared" ref="E20:N20" si="5">SUM(E21:E28)</f>
        <v>84.181682930000008</v>
      </c>
      <c r="F20" s="278">
        <f t="shared" si="5"/>
        <v>112.11982052999998</v>
      </c>
      <c r="G20" s="278">
        <f t="shared" si="5"/>
        <v>160.01297458899998</v>
      </c>
      <c r="H20" s="278">
        <f t="shared" si="5"/>
        <v>103.68907020599998</v>
      </c>
      <c r="I20" s="278">
        <f t="shared" si="5"/>
        <v>98.646529190000024</v>
      </c>
      <c r="J20" s="278">
        <f t="shared" si="5"/>
        <v>99.766321939999997</v>
      </c>
      <c r="K20" s="278">
        <f t="shared" si="5"/>
        <v>97.086230360000016</v>
      </c>
      <c r="L20" s="278">
        <f t="shared" si="5"/>
        <v>85.10690142</v>
      </c>
      <c r="M20" s="278">
        <f t="shared" si="5"/>
        <v>87.19358111999999</v>
      </c>
      <c r="N20" s="273">
        <f t="shared" si="5"/>
        <v>107.72374656999999</v>
      </c>
      <c r="O20" s="273">
        <f t="shared" si="2"/>
        <v>1217.7447075750001</v>
      </c>
      <c r="P20" s="2"/>
      <c r="Q20" s="9"/>
    </row>
    <row r="21" spans="2:17">
      <c r="B21" s="274" t="s">
        <v>251</v>
      </c>
      <c r="C21" s="277">
        <v>43.693787299999997</v>
      </c>
      <c r="D21" s="278">
        <v>49.369730460000007</v>
      </c>
      <c r="E21" s="278">
        <v>46.391000739999996</v>
      </c>
      <c r="F21" s="278">
        <v>57.526752319999993</v>
      </c>
      <c r="G21" s="278">
        <v>57.477298910000002</v>
      </c>
      <c r="H21" s="278">
        <v>47.099638780000006</v>
      </c>
      <c r="I21" s="278">
        <v>51.876431000000004</v>
      </c>
      <c r="J21" s="278">
        <v>52.332950809999993</v>
      </c>
      <c r="K21" s="278">
        <v>50.185667430000017</v>
      </c>
      <c r="L21" s="278">
        <v>44.838403010000007</v>
      </c>
      <c r="M21" s="278">
        <v>45.860653689999985</v>
      </c>
      <c r="N21" s="273">
        <v>60.699840930000001</v>
      </c>
      <c r="O21" s="273">
        <f t="shared" si="2"/>
        <v>607.35215538</v>
      </c>
      <c r="P21" s="2"/>
      <c r="Q21" s="9"/>
    </row>
    <row r="22" spans="2:17">
      <c r="B22" s="274" t="s">
        <v>252</v>
      </c>
      <c r="C22" s="277">
        <v>0</v>
      </c>
      <c r="D22" s="278">
        <v>6.6946000000000006E-2</v>
      </c>
      <c r="E22" s="278">
        <v>0</v>
      </c>
      <c r="F22" s="278">
        <v>0.25747300000000001</v>
      </c>
      <c r="G22" s="278">
        <v>6.6946000000000006E-2</v>
      </c>
      <c r="H22" s="278">
        <v>3.3473000000000003E-2</v>
      </c>
      <c r="I22" s="278">
        <v>3.3473000000000003E-2</v>
      </c>
      <c r="J22" s="278">
        <v>3.3473000000000003E-2</v>
      </c>
      <c r="K22" s="278">
        <v>3.3473000000000003E-2</v>
      </c>
      <c r="L22" s="278">
        <v>0</v>
      </c>
      <c r="M22" s="278">
        <v>6.6946000000000006E-2</v>
      </c>
      <c r="N22" s="273">
        <v>3.3477E-2</v>
      </c>
      <c r="O22" s="273">
        <f t="shared" si="2"/>
        <v>0.62568000000000001</v>
      </c>
      <c r="P22" s="2"/>
      <c r="Q22" s="9"/>
    </row>
    <row r="23" spans="2:17">
      <c r="B23" s="274" t="s">
        <v>253</v>
      </c>
      <c r="C23" s="277">
        <v>0.36118070999999996</v>
      </c>
      <c r="D23" s="278">
        <v>0.78730700000000009</v>
      </c>
      <c r="E23" s="278">
        <v>0.68119400000000008</v>
      </c>
      <c r="F23" s="278">
        <v>0.80673033999999999</v>
      </c>
      <c r="G23" s="278">
        <v>0.69285200000000002</v>
      </c>
      <c r="H23" s="278">
        <v>0.42638853000000004</v>
      </c>
      <c r="I23" s="278">
        <v>0.33308700000000002</v>
      </c>
      <c r="J23" s="278">
        <v>0.34232200000000002</v>
      </c>
      <c r="K23" s="278">
        <v>0.35561399999999999</v>
      </c>
      <c r="L23" s="278">
        <v>0.33340594000000001</v>
      </c>
      <c r="M23" s="278">
        <v>0.53826200000000002</v>
      </c>
      <c r="N23" s="273">
        <v>0.28972209999999998</v>
      </c>
      <c r="O23" s="273">
        <f t="shared" si="2"/>
        <v>5.9480656200000004</v>
      </c>
      <c r="P23" s="2"/>
      <c r="Q23" s="9"/>
    </row>
    <row r="24" spans="2:17">
      <c r="B24" s="274" t="s">
        <v>254</v>
      </c>
      <c r="C24" s="277">
        <v>48.641789859999996</v>
      </c>
      <c r="D24" s="278">
        <v>37.656313599999997</v>
      </c>
      <c r="E24" s="278">
        <v>36.23867319</v>
      </c>
      <c r="F24" s="278">
        <v>51.524919119999993</v>
      </c>
      <c r="G24" s="278">
        <v>95.076771318999988</v>
      </c>
      <c r="H24" s="278">
        <v>51.972353785999985</v>
      </c>
      <c r="I24" s="278">
        <v>43.940095490000019</v>
      </c>
      <c r="J24" s="278">
        <v>43.973305259999997</v>
      </c>
      <c r="K24" s="278">
        <v>41.545172439999995</v>
      </c>
      <c r="L24" s="278">
        <v>37.495481090000006</v>
      </c>
      <c r="M24" s="278">
        <v>40.031288549999992</v>
      </c>
      <c r="N24" s="273">
        <v>43.945748129999998</v>
      </c>
      <c r="O24" s="273">
        <f t="shared" si="2"/>
        <v>572.04191183499995</v>
      </c>
      <c r="P24" s="2"/>
      <c r="Q24" s="9"/>
    </row>
    <row r="25" spans="2:17">
      <c r="B25" s="274" t="s">
        <v>255</v>
      </c>
      <c r="C25" s="277">
        <v>0.651667</v>
      </c>
      <c r="D25" s="278">
        <v>0.30222679000000002</v>
      </c>
      <c r="E25" s="278">
        <v>0.45</v>
      </c>
      <c r="F25" s="278">
        <v>1.6136107500000001</v>
      </c>
      <c r="G25" s="278">
        <v>1.3698618999999999</v>
      </c>
      <c r="H25" s="278">
        <v>0.34287803</v>
      </c>
      <c r="I25" s="278">
        <v>9.5580360000000003E-2</v>
      </c>
      <c r="J25" s="278">
        <v>1.2822384</v>
      </c>
      <c r="K25" s="278">
        <v>2.8625039999999999</v>
      </c>
      <c r="L25" s="278">
        <v>0.1</v>
      </c>
      <c r="M25" s="278">
        <v>0.32844087999999999</v>
      </c>
      <c r="N25" s="273">
        <v>0.8</v>
      </c>
      <c r="O25" s="273">
        <f t="shared" si="2"/>
        <v>10.199008109999999</v>
      </c>
      <c r="P25" s="2"/>
      <c r="Q25" s="9"/>
    </row>
    <row r="26" spans="2:17">
      <c r="B26" s="274" t="s">
        <v>256</v>
      </c>
      <c r="C26" s="277">
        <v>0.31781999999999999</v>
      </c>
      <c r="D26" s="278">
        <v>0.36908000000000002</v>
      </c>
      <c r="E26" s="278">
        <v>0.42081499999999999</v>
      </c>
      <c r="F26" s="278">
        <v>0.39033499999999999</v>
      </c>
      <c r="G26" s="278">
        <v>0.29717584999999996</v>
      </c>
      <c r="H26" s="278">
        <v>0.39849499999999999</v>
      </c>
      <c r="I26" s="278">
        <v>0.42864999999999998</v>
      </c>
      <c r="J26" s="278">
        <v>0.35696</v>
      </c>
      <c r="K26" s="278">
        <v>0.3569</v>
      </c>
      <c r="L26" s="278">
        <v>0.36819000000000002</v>
      </c>
      <c r="M26" s="278">
        <v>0.36798999999999998</v>
      </c>
      <c r="N26" s="273">
        <v>0.49546000000000001</v>
      </c>
      <c r="O26" s="273">
        <f t="shared" si="2"/>
        <v>4.5678708500000003</v>
      </c>
      <c r="P26" s="2"/>
      <c r="Q26" s="9"/>
    </row>
    <row r="27" spans="2:17">
      <c r="B27" s="274" t="s">
        <v>257</v>
      </c>
      <c r="C27" s="277"/>
      <c r="D27" s="278"/>
      <c r="E27" s="278"/>
      <c r="F27" s="278"/>
      <c r="G27" s="278"/>
      <c r="H27" s="278"/>
      <c r="I27" s="278"/>
      <c r="J27" s="278"/>
      <c r="K27" s="278"/>
      <c r="L27" s="278"/>
      <c r="M27" s="278"/>
      <c r="N27" s="273"/>
      <c r="O27" s="273">
        <f t="shared" si="2"/>
        <v>0</v>
      </c>
      <c r="P27" s="2"/>
      <c r="Q27" s="9"/>
    </row>
    <row r="28" spans="2:17">
      <c r="B28" s="274" t="s">
        <v>258</v>
      </c>
      <c r="C28" s="277">
        <v>0</v>
      </c>
      <c r="D28" s="278">
        <v>0</v>
      </c>
      <c r="E28" s="278">
        <v>0</v>
      </c>
      <c r="F28" s="278">
        <v>0</v>
      </c>
      <c r="G28" s="278">
        <v>5.0320686099999996</v>
      </c>
      <c r="H28" s="278">
        <v>3.4158430800000001</v>
      </c>
      <c r="I28" s="278">
        <v>1.9392123400000001</v>
      </c>
      <c r="J28" s="278">
        <v>1.4450724699999999</v>
      </c>
      <c r="K28" s="278">
        <v>1.7468994899999999</v>
      </c>
      <c r="L28" s="278">
        <v>1.9714213799999998</v>
      </c>
      <c r="M28" s="278">
        <v>0</v>
      </c>
      <c r="N28" s="273">
        <v>1.4594984099999999</v>
      </c>
      <c r="O28" s="273">
        <f t="shared" si="2"/>
        <v>17.010015779999996</v>
      </c>
      <c r="P28" s="2"/>
      <c r="Q28" s="9"/>
    </row>
    <row r="29" spans="2:17" ht="18" customHeight="1">
      <c r="B29" s="272" t="s">
        <v>259</v>
      </c>
      <c r="C29" s="270">
        <f>SUM(C30:C31)</f>
        <v>54.204971119999996</v>
      </c>
      <c r="D29" s="246">
        <f>SUM(D30:D31)</f>
        <v>64.098020380000008</v>
      </c>
      <c r="E29" s="246">
        <f t="shared" ref="E29:N29" si="6">SUM(E30:E31)</f>
        <v>69.699656750000003</v>
      </c>
      <c r="F29" s="246">
        <f t="shared" si="6"/>
        <v>77.735573779999996</v>
      </c>
      <c r="G29" s="246">
        <f t="shared" si="6"/>
        <v>92.463842080000006</v>
      </c>
      <c r="H29" s="246">
        <f t="shared" si="6"/>
        <v>62.680640960000005</v>
      </c>
      <c r="I29" s="246">
        <f t="shared" si="6"/>
        <v>64.171387879999997</v>
      </c>
      <c r="J29" s="246">
        <f t="shared" si="6"/>
        <v>59.589509250000006</v>
      </c>
      <c r="K29" s="246">
        <f t="shared" si="6"/>
        <v>72.31762603</v>
      </c>
      <c r="L29" s="246">
        <f t="shared" si="6"/>
        <v>61.910413870000006</v>
      </c>
      <c r="M29" s="246">
        <f t="shared" si="6"/>
        <v>69.466070729999998</v>
      </c>
      <c r="N29" s="271">
        <f t="shared" si="6"/>
        <v>66.555137550000012</v>
      </c>
      <c r="O29" s="271">
        <f t="shared" si="2"/>
        <v>814.89285038000003</v>
      </c>
      <c r="P29" s="2"/>
      <c r="Q29" s="9"/>
    </row>
    <row r="30" spans="2:17">
      <c r="B30" s="265" t="s">
        <v>260</v>
      </c>
      <c r="C30" s="277">
        <v>12.590311319999998</v>
      </c>
      <c r="D30" s="278">
        <v>14.749836199999999</v>
      </c>
      <c r="E30" s="278">
        <v>20.903660890000001</v>
      </c>
      <c r="F30" s="278">
        <v>30.370374039999998</v>
      </c>
      <c r="G30" s="278">
        <v>34.59164225</v>
      </c>
      <c r="H30" s="278">
        <v>23.518007670000003</v>
      </c>
      <c r="I30" s="278">
        <v>23.948584619999998</v>
      </c>
      <c r="J30" s="278">
        <v>16.640871090000001</v>
      </c>
      <c r="K30" s="278">
        <v>22.947050669999996</v>
      </c>
      <c r="L30" s="278">
        <v>20.715571430000004</v>
      </c>
      <c r="M30" s="278">
        <v>27.443632749999999</v>
      </c>
      <c r="N30" s="273">
        <v>26.218427679999998</v>
      </c>
      <c r="O30" s="273">
        <f t="shared" si="2"/>
        <v>274.63797060999997</v>
      </c>
      <c r="P30" s="2"/>
      <c r="Q30" s="9"/>
    </row>
    <row r="31" spans="2:17">
      <c r="B31" s="265" t="s">
        <v>261</v>
      </c>
      <c r="C31" s="277">
        <f>SUM(C32:C39)</f>
        <v>41.614659799999998</v>
      </c>
      <c r="D31" s="278">
        <f>SUM(D32:D39)</f>
        <v>49.348184180000004</v>
      </c>
      <c r="E31" s="278">
        <f t="shared" ref="E31:N31" si="7">SUM(E32:E39)</f>
        <v>48.795995859999998</v>
      </c>
      <c r="F31" s="278">
        <f t="shared" si="7"/>
        <v>47.365199740000001</v>
      </c>
      <c r="G31" s="278">
        <f t="shared" si="7"/>
        <v>57.87219983</v>
      </c>
      <c r="H31" s="278">
        <f t="shared" si="7"/>
        <v>39.162633290000002</v>
      </c>
      <c r="I31" s="278">
        <f t="shared" si="7"/>
        <v>40.222803260000006</v>
      </c>
      <c r="J31" s="278">
        <f t="shared" si="7"/>
        <v>42.948638160000002</v>
      </c>
      <c r="K31" s="278">
        <f t="shared" si="7"/>
        <v>49.370575360000004</v>
      </c>
      <c r="L31" s="278">
        <f t="shared" si="7"/>
        <v>41.194842440000002</v>
      </c>
      <c r="M31" s="278">
        <f t="shared" si="7"/>
        <v>42.022437979999999</v>
      </c>
      <c r="N31" s="273">
        <f t="shared" si="7"/>
        <v>40.336709870000007</v>
      </c>
      <c r="O31" s="273">
        <f t="shared" si="2"/>
        <v>540.25487977</v>
      </c>
      <c r="P31" s="2"/>
      <c r="Q31" s="9"/>
    </row>
    <row r="32" spans="2:17">
      <c r="B32" s="274" t="s">
        <v>251</v>
      </c>
      <c r="C32" s="277">
        <v>25.472228090000002</v>
      </c>
      <c r="D32" s="278">
        <v>25.838299040000003</v>
      </c>
      <c r="E32" s="278">
        <v>25.99397991</v>
      </c>
      <c r="F32" s="278">
        <v>25.810705110000004</v>
      </c>
      <c r="G32" s="278">
        <v>26.01455249</v>
      </c>
      <c r="H32" s="278">
        <v>25.524289850000002</v>
      </c>
      <c r="I32" s="278">
        <v>25.486057929999998</v>
      </c>
      <c r="J32" s="278">
        <v>25.538583039999999</v>
      </c>
      <c r="K32" s="278">
        <v>25.828716570000001</v>
      </c>
      <c r="L32" s="278">
        <v>25.536039790000004</v>
      </c>
      <c r="M32" s="278">
        <v>26.127696649999997</v>
      </c>
      <c r="N32" s="273">
        <v>25.575616290000003</v>
      </c>
      <c r="O32" s="273">
        <f t="shared" si="2"/>
        <v>308.74676476000008</v>
      </c>
      <c r="P32" s="2"/>
      <c r="Q32" s="9"/>
    </row>
    <row r="33" spans="2:17">
      <c r="B33" s="274" t="s">
        <v>252</v>
      </c>
      <c r="C33" s="277">
        <v>0</v>
      </c>
      <c r="D33" s="278">
        <v>0</v>
      </c>
      <c r="E33" s="278">
        <v>0</v>
      </c>
      <c r="F33" s="278">
        <v>0</v>
      </c>
      <c r="G33" s="278">
        <v>1.4099120000000001</v>
      </c>
      <c r="H33" s="278">
        <v>0</v>
      </c>
      <c r="I33" s="278">
        <v>0</v>
      </c>
      <c r="J33" s="278">
        <v>0</v>
      </c>
      <c r="K33" s="278">
        <v>0</v>
      </c>
      <c r="L33" s="278">
        <v>0.02</v>
      </c>
      <c r="M33" s="278">
        <v>0</v>
      </c>
      <c r="N33" s="273">
        <v>0</v>
      </c>
      <c r="O33" s="273">
        <f t="shared" si="2"/>
        <v>1.4299120000000001</v>
      </c>
      <c r="P33" s="2"/>
      <c r="Q33" s="9"/>
    </row>
    <row r="34" spans="2:17">
      <c r="B34" s="274" t="s">
        <v>253</v>
      </c>
      <c r="C34" s="277">
        <v>0</v>
      </c>
      <c r="D34" s="278">
        <v>0</v>
      </c>
      <c r="E34" s="278">
        <v>0</v>
      </c>
      <c r="F34" s="278">
        <v>0</v>
      </c>
      <c r="G34" s="278">
        <v>1.58815931</v>
      </c>
      <c r="H34" s="278">
        <v>0</v>
      </c>
      <c r="I34" s="278">
        <v>0</v>
      </c>
      <c r="J34" s="278">
        <v>0</v>
      </c>
      <c r="K34" s="278">
        <v>3.3882008999999997</v>
      </c>
      <c r="L34" s="278">
        <v>0</v>
      </c>
      <c r="M34" s="278">
        <v>0</v>
      </c>
      <c r="N34" s="273">
        <v>1.4905708899999999</v>
      </c>
      <c r="O34" s="273">
        <f t="shared" si="2"/>
        <v>6.4669310999999992</v>
      </c>
      <c r="P34" s="2"/>
      <c r="Q34" s="9"/>
    </row>
    <row r="35" spans="2:17">
      <c r="B35" s="274" t="s">
        <v>262</v>
      </c>
      <c r="C35" s="277">
        <v>5.8323861699999995</v>
      </c>
      <c r="D35" s="278">
        <v>8.2357182400000006</v>
      </c>
      <c r="E35" s="278">
        <v>4.4462886200000007</v>
      </c>
      <c r="F35" s="278">
        <v>7.5769157099999997</v>
      </c>
      <c r="G35" s="278">
        <v>6.5530541299999996</v>
      </c>
      <c r="H35" s="278">
        <v>6.2871270100000007</v>
      </c>
      <c r="I35" s="278">
        <v>6.8542652800000008</v>
      </c>
      <c r="J35" s="278">
        <v>3.2025617999999998</v>
      </c>
      <c r="K35" s="278">
        <v>7.0947792100000004</v>
      </c>
      <c r="L35" s="278">
        <v>4.91361604</v>
      </c>
      <c r="M35" s="278">
        <v>8.2428640500000014</v>
      </c>
      <c r="N35" s="273">
        <v>7.8415640900000003</v>
      </c>
      <c r="O35" s="273">
        <f t="shared" si="2"/>
        <v>77.081140350000013</v>
      </c>
      <c r="P35" s="2"/>
      <c r="Q35" s="9"/>
    </row>
    <row r="36" spans="2:17">
      <c r="B36" s="274" t="s">
        <v>263</v>
      </c>
      <c r="C36" s="277">
        <v>4.59882028</v>
      </c>
      <c r="D36" s="278">
        <v>2.9324458299999998</v>
      </c>
      <c r="E36" s="278">
        <v>2.4895146399999999</v>
      </c>
      <c r="F36" s="278">
        <v>4.4713453299999992</v>
      </c>
      <c r="G36" s="278">
        <v>16.03983092</v>
      </c>
      <c r="H36" s="278">
        <v>1.23907842</v>
      </c>
      <c r="I36" s="278">
        <v>2.2042450099999997</v>
      </c>
      <c r="J36" s="278">
        <v>7.4398543799999999</v>
      </c>
      <c r="K36" s="278">
        <v>7.1284355400000008</v>
      </c>
      <c r="L36" s="278">
        <v>5.6571212600000003</v>
      </c>
      <c r="M36" s="278">
        <v>1.4681099200000001</v>
      </c>
      <c r="N36" s="273">
        <v>0.72881335000000003</v>
      </c>
      <c r="O36" s="273">
        <f t="shared" si="2"/>
        <v>56.397614879999999</v>
      </c>
      <c r="P36" s="2"/>
      <c r="Q36" s="9"/>
    </row>
    <row r="37" spans="2:17">
      <c r="B37" s="274" t="s">
        <v>264</v>
      </c>
      <c r="C37" s="277">
        <v>2.7333812499999999</v>
      </c>
      <c r="D37" s="278">
        <v>0</v>
      </c>
      <c r="E37" s="278">
        <v>0</v>
      </c>
      <c r="F37" s="278">
        <v>0</v>
      </c>
      <c r="G37" s="278">
        <v>0</v>
      </c>
      <c r="H37" s="278">
        <v>0</v>
      </c>
      <c r="I37" s="278">
        <v>0</v>
      </c>
      <c r="J37" s="278">
        <v>0</v>
      </c>
      <c r="K37" s="278">
        <v>0</v>
      </c>
      <c r="L37" s="278">
        <v>0</v>
      </c>
      <c r="M37" s="278">
        <v>0</v>
      </c>
      <c r="N37" s="273">
        <v>0</v>
      </c>
      <c r="O37" s="273">
        <f t="shared" si="2"/>
        <v>2.7333812499999999</v>
      </c>
      <c r="P37" s="2"/>
      <c r="Q37" s="9"/>
    </row>
    <row r="38" spans="2:17">
      <c r="B38" s="274" t="s">
        <v>265</v>
      </c>
      <c r="C38" s="277">
        <v>0</v>
      </c>
      <c r="D38" s="278">
        <v>0</v>
      </c>
      <c r="E38" s="278">
        <v>0</v>
      </c>
      <c r="F38" s="278">
        <v>0.2</v>
      </c>
      <c r="G38" s="278">
        <v>0.1</v>
      </c>
      <c r="H38" s="278">
        <v>0</v>
      </c>
      <c r="I38" s="278">
        <v>0.33004666999999999</v>
      </c>
      <c r="J38" s="278">
        <v>0.66009333000000003</v>
      </c>
      <c r="K38" s="278">
        <v>0</v>
      </c>
      <c r="L38" s="278">
        <v>0</v>
      </c>
      <c r="M38" s="278">
        <v>0</v>
      </c>
      <c r="N38" s="273">
        <v>0</v>
      </c>
      <c r="O38" s="273">
        <f t="shared" si="2"/>
        <v>1.2901400000000001</v>
      </c>
      <c r="P38" s="2"/>
      <c r="Q38" s="9"/>
    </row>
    <row r="39" spans="2:17">
      <c r="B39" s="274" t="s">
        <v>266</v>
      </c>
      <c r="C39" s="277">
        <v>2.9778440100000001</v>
      </c>
      <c r="D39" s="278">
        <v>12.34172107</v>
      </c>
      <c r="E39" s="278">
        <v>15.866212689999999</v>
      </c>
      <c r="F39" s="278">
        <v>9.3062335899999997</v>
      </c>
      <c r="G39" s="278">
        <v>6.1666909800000003</v>
      </c>
      <c r="H39" s="278">
        <v>6.1121380099999998</v>
      </c>
      <c r="I39" s="278">
        <v>5.3481883699999999</v>
      </c>
      <c r="J39" s="278">
        <v>6.1075456100000007</v>
      </c>
      <c r="K39" s="278">
        <v>5.9304431400000004</v>
      </c>
      <c r="L39" s="278">
        <v>5.0680653499999995</v>
      </c>
      <c r="M39" s="278">
        <v>6.18376736</v>
      </c>
      <c r="N39" s="273">
        <v>4.7001452500000003</v>
      </c>
      <c r="O39" s="273">
        <f t="shared" si="2"/>
        <v>86.108995430000007</v>
      </c>
      <c r="P39" s="2"/>
      <c r="Q39" s="9"/>
    </row>
    <row r="40" spans="2:17" ht="18" customHeight="1">
      <c r="B40" s="275" t="s">
        <v>267</v>
      </c>
      <c r="C40" s="282">
        <f>SUM(C41:C45)</f>
        <v>9.3594270799999997</v>
      </c>
      <c r="D40" s="283">
        <f>SUM(D41:D45)</f>
        <v>4.2976733200000004</v>
      </c>
      <c r="E40" s="283">
        <f t="shared" ref="E40:N40" si="8">SUM(E41:E45)</f>
        <v>1.8810615399999999</v>
      </c>
      <c r="F40" s="283">
        <f t="shared" si="8"/>
        <v>-1.7921186100000002</v>
      </c>
      <c r="G40" s="283">
        <f t="shared" si="8"/>
        <v>3.8968499999999999E-3</v>
      </c>
      <c r="H40" s="283">
        <f t="shared" si="8"/>
        <v>-0.75499862000000006</v>
      </c>
      <c r="I40" s="283">
        <f t="shared" si="8"/>
        <v>-0.20746464000000001</v>
      </c>
      <c r="J40" s="283">
        <f t="shared" si="8"/>
        <v>0</v>
      </c>
      <c r="K40" s="283">
        <f t="shared" si="8"/>
        <v>0</v>
      </c>
      <c r="L40" s="283">
        <f t="shared" si="8"/>
        <v>-1.76653584</v>
      </c>
      <c r="M40" s="283">
        <f t="shared" si="8"/>
        <v>0</v>
      </c>
      <c r="N40" s="276">
        <f t="shared" si="8"/>
        <v>-0.78267118999999996</v>
      </c>
      <c r="O40" s="276">
        <f t="shared" si="2"/>
        <v>10.23826989</v>
      </c>
      <c r="P40" s="2"/>
      <c r="Q40" s="9"/>
    </row>
    <row r="41" spans="2:17" hidden="1">
      <c r="B41" s="265" t="s">
        <v>251</v>
      </c>
      <c r="C41" s="277">
        <v>-1.14904761</v>
      </c>
      <c r="D41" s="278">
        <v>0</v>
      </c>
      <c r="E41" s="278">
        <v>0</v>
      </c>
      <c r="F41" s="278">
        <v>-2.55396</v>
      </c>
      <c r="G41" s="278">
        <v>0</v>
      </c>
      <c r="H41" s="278">
        <v>0</v>
      </c>
      <c r="I41" s="278">
        <v>-0.20904760999999999</v>
      </c>
      <c r="J41" s="278">
        <v>0</v>
      </c>
      <c r="K41" s="278">
        <v>0</v>
      </c>
      <c r="L41" s="278">
        <v>-1.77878</v>
      </c>
      <c r="M41" s="278">
        <v>0</v>
      </c>
      <c r="N41" s="273">
        <v>0</v>
      </c>
      <c r="O41" s="273">
        <f t="shared" si="2"/>
        <v>-5.6908352200000003</v>
      </c>
      <c r="P41" s="2"/>
      <c r="Q41" s="9"/>
    </row>
    <row r="42" spans="2:17" hidden="1">
      <c r="B42" s="265" t="s">
        <v>252</v>
      </c>
      <c r="C42" s="277">
        <v>10.62275335</v>
      </c>
      <c r="D42" s="278">
        <v>4.2976733200000004</v>
      </c>
      <c r="E42" s="278">
        <v>1.8810615399999999</v>
      </c>
      <c r="F42" s="278">
        <v>0.76184138999999995</v>
      </c>
      <c r="G42" s="278">
        <v>3.8968499999999999E-3</v>
      </c>
      <c r="H42" s="278">
        <v>-0.52740918000000003</v>
      </c>
      <c r="I42" s="278">
        <v>1.58297E-3</v>
      </c>
      <c r="J42" s="278">
        <v>0</v>
      </c>
      <c r="K42" s="278">
        <v>0</v>
      </c>
      <c r="L42" s="278">
        <v>1.224416E-2</v>
      </c>
      <c r="M42" s="278">
        <v>0</v>
      </c>
      <c r="N42" s="273">
        <v>-0.55056161999999997</v>
      </c>
      <c r="O42" s="273">
        <f t="shared" si="2"/>
        <v>16.503082780000007</v>
      </c>
      <c r="P42" s="2"/>
      <c r="Q42" s="9"/>
    </row>
    <row r="43" spans="2:17" hidden="1">
      <c r="B43" s="265" t="s">
        <v>253</v>
      </c>
      <c r="C43" s="277">
        <v>-0.11427866</v>
      </c>
      <c r="D43" s="278"/>
      <c r="E43" s="278"/>
      <c r="F43" s="278"/>
      <c r="G43" s="278"/>
      <c r="H43" s="278"/>
      <c r="I43" s="278"/>
      <c r="J43" s="278"/>
      <c r="K43" s="278"/>
      <c r="L43" s="278"/>
      <c r="M43" s="278"/>
      <c r="N43" s="273"/>
      <c r="O43" s="273">
        <f t="shared" si="2"/>
        <v>-0.11427866</v>
      </c>
      <c r="P43" s="2"/>
      <c r="Q43" s="9"/>
    </row>
    <row r="44" spans="2:17" hidden="1">
      <c r="B44" s="265" t="s">
        <v>254</v>
      </c>
      <c r="C44" s="277"/>
      <c r="D44" s="278"/>
      <c r="E44" s="278"/>
      <c r="F44" s="278"/>
      <c r="G44" s="278"/>
      <c r="H44" s="278">
        <v>-0.22758944</v>
      </c>
      <c r="I44" s="278"/>
      <c r="J44" s="278"/>
      <c r="K44" s="278"/>
      <c r="L44" s="278"/>
      <c r="M44" s="278"/>
      <c r="N44" s="273">
        <v>-0.23210956999999999</v>
      </c>
      <c r="O44" s="273">
        <f t="shared" si="2"/>
        <v>-0.45969901000000002</v>
      </c>
      <c r="P44" s="2"/>
      <c r="Q44" s="9"/>
    </row>
    <row r="45" spans="2:17" hidden="1">
      <c r="B45" s="265" t="s">
        <v>268</v>
      </c>
      <c r="C45" s="277"/>
      <c r="D45" s="278"/>
      <c r="E45" s="278"/>
      <c r="F45" s="278"/>
      <c r="G45" s="278"/>
      <c r="H45" s="278"/>
      <c r="I45" s="278"/>
      <c r="J45" s="278"/>
      <c r="K45" s="278"/>
      <c r="L45" s="278"/>
      <c r="M45" s="278"/>
      <c r="N45" s="273"/>
      <c r="O45" s="273">
        <f t="shared" si="2"/>
        <v>0</v>
      </c>
      <c r="P45" s="2"/>
      <c r="Q45" s="9"/>
    </row>
    <row r="46" spans="2:17" ht="24.95" hidden="1" customHeight="1">
      <c r="B46" s="25" t="s">
        <v>269</v>
      </c>
      <c r="C46" s="270">
        <f>C9-C16</f>
        <v>42.912305059999994</v>
      </c>
      <c r="D46" s="246">
        <f>D9-D16</f>
        <v>5.9289508200000682</v>
      </c>
      <c r="E46" s="246">
        <f t="shared" ref="E46:N46" si="9">E9-E16</f>
        <v>45.704572929999983</v>
      </c>
      <c r="F46" s="246">
        <f t="shared" si="9"/>
        <v>337.31061641000008</v>
      </c>
      <c r="G46" s="246">
        <f t="shared" si="9"/>
        <v>-70.495565718999899</v>
      </c>
      <c r="H46" s="246">
        <f t="shared" si="9"/>
        <v>-45.123465345999932</v>
      </c>
      <c r="I46" s="246">
        <f t="shared" si="9"/>
        <v>-29.221507009999982</v>
      </c>
      <c r="J46" s="246">
        <f t="shared" si="9"/>
        <v>10.623302400000057</v>
      </c>
      <c r="K46" s="246">
        <f t="shared" si="9"/>
        <v>23.293725800000061</v>
      </c>
      <c r="L46" s="246">
        <f t="shared" si="9"/>
        <v>53.186904789999971</v>
      </c>
      <c r="M46" s="246">
        <f t="shared" si="9"/>
        <v>29.466586500000062</v>
      </c>
      <c r="N46" s="271">
        <f t="shared" si="9"/>
        <v>-49.39435219000012</v>
      </c>
      <c r="O46" s="271">
        <f t="shared" si="2"/>
        <v>354.19207444500034</v>
      </c>
      <c r="P46" s="2"/>
      <c r="Q46" s="9"/>
    </row>
    <row r="47" spans="2:17" ht="24.95" hidden="1" customHeight="1">
      <c r="B47" s="25" t="s">
        <v>296</v>
      </c>
      <c r="C47" s="277"/>
      <c r="D47" s="278"/>
      <c r="E47" s="278"/>
      <c r="F47" s="278"/>
      <c r="G47" s="278"/>
      <c r="H47" s="278"/>
      <c r="I47" s="278"/>
      <c r="J47" s="278"/>
      <c r="K47" s="278"/>
      <c r="L47" s="278"/>
      <c r="M47" s="278"/>
      <c r="N47" s="273"/>
      <c r="O47" s="273"/>
      <c r="P47" s="2"/>
      <c r="Q47" s="9"/>
    </row>
    <row r="48" spans="2:17" ht="18" hidden="1" customHeight="1">
      <c r="B48" s="272" t="s">
        <v>272</v>
      </c>
      <c r="C48" s="270">
        <f>C8-C15</f>
        <v>-20.083590219999962</v>
      </c>
      <c r="D48" s="246">
        <f>D8-D15</f>
        <v>-60.35704297999996</v>
      </c>
      <c r="E48" s="246">
        <f t="shared" ref="E48:N48" si="10">E8-E15</f>
        <v>-24.662331160000008</v>
      </c>
      <c r="F48" s="246">
        <f t="shared" si="10"/>
        <v>264.0554327100001</v>
      </c>
      <c r="G48" s="246">
        <f t="shared" si="10"/>
        <v>-161.39668865899989</v>
      </c>
      <c r="H48" s="246">
        <f t="shared" si="10"/>
        <v>-103.90828676599995</v>
      </c>
      <c r="I48" s="246">
        <f t="shared" si="10"/>
        <v>-90.105747439999959</v>
      </c>
      <c r="J48" s="246">
        <f t="shared" si="10"/>
        <v>-46.182506849999925</v>
      </c>
      <c r="K48" s="246">
        <f t="shared" si="10"/>
        <v>-48.121900229999937</v>
      </c>
      <c r="L48" s="246">
        <f t="shared" si="10"/>
        <v>-5.4891286200000309</v>
      </c>
      <c r="M48" s="246">
        <f t="shared" si="10"/>
        <v>-35.919427319999954</v>
      </c>
      <c r="N48" s="271">
        <f t="shared" si="10"/>
        <v>-113.4561952800002</v>
      </c>
      <c r="O48" s="271">
        <f t="shared" si="2"/>
        <v>-445.62741281499967</v>
      </c>
      <c r="P48" s="2"/>
      <c r="Q48" s="9"/>
    </row>
    <row r="49" spans="2:17" ht="18" hidden="1" customHeight="1">
      <c r="B49" s="272" t="s">
        <v>273</v>
      </c>
      <c r="C49" s="270">
        <f>C48-C14</f>
        <v>-20.652093139999963</v>
      </c>
      <c r="D49" s="246">
        <f>D48-D14</f>
        <v>-62.466742879999963</v>
      </c>
      <c r="E49" s="246">
        <f t="shared" ref="E49:N49" si="11">E48-E14</f>
        <v>-25.87614536000001</v>
      </c>
      <c r="F49" s="246">
        <f t="shared" si="11"/>
        <v>261.37374724000011</v>
      </c>
      <c r="G49" s="246">
        <f t="shared" si="11"/>
        <v>-162.96330464899989</v>
      </c>
      <c r="H49" s="246">
        <f t="shared" si="11"/>
        <v>-107.04910768599994</v>
      </c>
      <c r="I49" s="246">
        <f t="shared" si="11"/>
        <v>-93.185430249999953</v>
      </c>
      <c r="J49" s="246">
        <f t="shared" si="11"/>
        <v>-48.966206849999928</v>
      </c>
      <c r="K49" s="246">
        <f t="shared" si="11"/>
        <v>-49.023900229999938</v>
      </c>
      <c r="L49" s="246">
        <f t="shared" si="11"/>
        <v>-6.9530052400000306</v>
      </c>
      <c r="M49" s="246">
        <f t="shared" si="11"/>
        <v>-39.999484229999958</v>
      </c>
      <c r="N49" s="271">
        <f t="shared" si="11"/>
        <v>-115.1668185500002</v>
      </c>
      <c r="O49" s="271">
        <f t="shared" si="2"/>
        <v>-470.92849182499964</v>
      </c>
      <c r="P49" s="2"/>
      <c r="Q49" s="9"/>
    </row>
    <row r="50" spans="2:17" ht="18" hidden="1" customHeight="1">
      <c r="B50" s="272" t="s">
        <v>274</v>
      </c>
      <c r="C50" s="270">
        <f>C48-C73</f>
        <v>-54.593579559999966</v>
      </c>
      <c r="D50" s="246">
        <f>D48-D73</f>
        <v>-94.48077672999996</v>
      </c>
      <c r="E50" s="246">
        <f t="shared" ref="E50:N50" si="12">E48-E73</f>
        <v>-59.110094410000009</v>
      </c>
      <c r="F50" s="246">
        <f t="shared" si="12"/>
        <v>229.91354705000009</v>
      </c>
      <c r="G50" s="246">
        <f t="shared" si="12"/>
        <v>-195.7088480889999</v>
      </c>
      <c r="H50" s="246">
        <f t="shared" si="12"/>
        <v>-138.37131865599994</v>
      </c>
      <c r="I50" s="246">
        <f t="shared" si="12"/>
        <v>-125.60679739999996</v>
      </c>
      <c r="J50" s="246">
        <f t="shared" si="12"/>
        <v>-81.443227119999932</v>
      </c>
      <c r="K50" s="246">
        <f t="shared" si="12"/>
        <v>-83.560192439999938</v>
      </c>
      <c r="L50" s="246">
        <f t="shared" si="12"/>
        <v>-41.243735220000033</v>
      </c>
      <c r="M50" s="246">
        <f t="shared" si="12"/>
        <v>-73.767185419999947</v>
      </c>
      <c r="N50" s="271">
        <f t="shared" si="12"/>
        <v>-169.9254437900002</v>
      </c>
      <c r="O50" s="271">
        <f t="shared" si="2"/>
        <v>-887.89765178499965</v>
      </c>
      <c r="P50" s="2"/>
      <c r="Q50" s="9"/>
    </row>
    <row r="51" spans="2:17" ht="24.95" hidden="1" customHeight="1">
      <c r="B51" s="25" t="s">
        <v>275</v>
      </c>
      <c r="C51" s="270">
        <f>SUM(C52:C53)</f>
        <v>-13.2204652</v>
      </c>
      <c r="D51" s="246">
        <f>SUM(D52:D53)</f>
        <v>-12.042270379999998</v>
      </c>
      <c r="E51" s="246">
        <f t="shared" ref="E51:N51" si="13">SUM(E52:E53)</f>
        <v>1.2205249000000009</v>
      </c>
      <c r="F51" s="246">
        <f t="shared" si="13"/>
        <v>2.4146923400000002</v>
      </c>
      <c r="G51" s="246">
        <f t="shared" si="13"/>
        <v>-6.010260559999999</v>
      </c>
      <c r="H51" s="246">
        <f t="shared" si="13"/>
        <v>-8.0235560800000005</v>
      </c>
      <c r="I51" s="246">
        <f t="shared" si="13"/>
        <v>9.2907123800000022</v>
      </c>
      <c r="J51" s="246">
        <f t="shared" si="13"/>
        <v>-7.3651242399999983</v>
      </c>
      <c r="K51" s="246">
        <f t="shared" si="13"/>
        <v>1.0257745000000007</v>
      </c>
      <c r="L51" s="246">
        <f t="shared" si="13"/>
        <v>7.83283342</v>
      </c>
      <c r="M51" s="246">
        <f t="shared" si="13"/>
        <v>-9.1077640199999976</v>
      </c>
      <c r="N51" s="271">
        <f t="shared" si="13"/>
        <v>19.545285419999995</v>
      </c>
      <c r="O51" s="271">
        <f t="shared" si="2"/>
        <v>-14.439617519999995</v>
      </c>
      <c r="P51" s="2"/>
      <c r="Q51" s="9"/>
    </row>
    <row r="52" spans="2:17" hidden="1">
      <c r="B52" s="35" t="s">
        <v>276</v>
      </c>
      <c r="C52" s="277">
        <v>0.24102299999999999</v>
      </c>
      <c r="D52" s="278">
        <v>7.9503244200000003</v>
      </c>
      <c r="E52" s="278">
        <v>12.726341830000001</v>
      </c>
      <c r="F52" s="278">
        <v>13.7806371</v>
      </c>
      <c r="G52" s="278">
        <v>24.44363736</v>
      </c>
      <c r="H52" s="278">
        <v>10.14460281</v>
      </c>
      <c r="I52" s="278">
        <v>24.393871010000002</v>
      </c>
      <c r="J52" s="278">
        <v>10.719278040000001</v>
      </c>
      <c r="K52" s="278">
        <v>19.184883230000001</v>
      </c>
      <c r="L52" s="278">
        <v>16.131975390000001</v>
      </c>
      <c r="M52" s="278">
        <v>24.11839973</v>
      </c>
      <c r="N52" s="273">
        <v>40.221141079999995</v>
      </c>
      <c r="O52" s="273">
        <f t="shared" si="2"/>
        <v>204.05611499999998</v>
      </c>
      <c r="P52" s="2"/>
      <c r="Q52" s="9"/>
    </row>
    <row r="53" spans="2:17" hidden="1">
      <c r="B53" s="35" t="s">
        <v>277</v>
      </c>
      <c r="C53" s="277">
        <v>-13.4614882</v>
      </c>
      <c r="D53" s="278">
        <v>-19.992594799999999</v>
      </c>
      <c r="E53" s="278">
        <v>-11.50581693</v>
      </c>
      <c r="F53" s="278">
        <v>-11.36594476</v>
      </c>
      <c r="G53" s="278">
        <v>-30.453897919999999</v>
      </c>
      <c r="H53" s="278">
        <v>-18.168158890000001</v>
      </c>
      <c r="I53" s="278">
        <v>-15.103158629999999</v>
      </c>
      <c r="J53" s="278">
        <v>-18.084402279999999</v>
      </c>
      <c r="K53" s="278">
        <v>-18.15910873</v>
      </c>
      <c r="L53" s="278">
        <v>-8.2991419700000009</v>
      </c>
      <c r="M53" s="278">
        <v>-33.226163749999998</v>
      </c>
      <c r="N53" s="273">
        <v>-20.67585566</v>
      </c>
      <c r="O53" s="273">
        <f t="shared" si="2"/>
        <v>-218.49573252000002</v>
      </c>
      <c r="P53" s="2"/>
      <c r="Q53" s="9"/>
    </row>
    <row r="54" spans="2:17" ht="24.95" hidden="1" customHeight="1">
      <c r="B54" s="25" t="s">
        <v>278</v>
      </c>
      <c r="C54" s="270">
        <f>+C55+C58+C61+C64+C65</f>
        <v>33.304055419999941</v>
      </c>
      <c r="D54" s="246">
        <f>+D55+D58+D61+D64+D65</f>
        <v>72.399313359999951</v>
      </c>
      <c r="E54" s="246">
        <f t="shared" ref="E54:N54" si="14">+E55+E58+E61+E64+E65</f>
        <v>23.441806260000007</v>
      </c>
      <c r="F54" s="246">
        <f t="shared" si="14"/>
        <v>-266.47012505000009</v>
      </c>
      <c r="G54" s="246">
        <f t="shared" si="14"/>
        <v>167.4069492189999</v>
      </c>
      <c r="H54" s="246">
        <f t="shared" si="14"/>
        <v>111.93184284599997</v>
      </c>
      <c r="I54" s="246">
        <f t="shared" si="14"/>
        <v>80.815035059999957</v>
      </c>
      <c r="J54" s="246">
        <f t="shared" si="14"/>
        <v>53.547631089999925</v>
      </c>
      <c r="K54" s="246">
        <f t="shared" si="14"/>
        <v>47.09612572999994</v>
      </c>
      <c r="L54" s="246">
        <f t="shared" si="14"/>
        <v>-2.3437047999999692</v>
      </c>
      <c r="M54" s="246">
        <f t="shared" si="14"/>
        <v>45.027191339999945</v>
      </c>
      <c r="N54" s="271">
        <f t="shared" si="14"/>
        <v>93.910909860000203</v>
      </c>
      <c r="O54" s="271">
        <f>SUM(C54:N54)</f>
        <v>460.06703033499969</v>
      </c>
      <c r="P54" s="2"/>
      <c r="Q54" s="9"/>
    </row>
    <row r="55" spans="2:17" hidden="1">
      <c r="B55" s="35" t="s">
        <v>279</v>
      </c>
      <c r="C55" s="277">
        <f>+C56+C57</f>
        <v>348.05603100000002</v>
      </c>
      <c r="D55" s="278">
        <f>+D56+D57</f>
        <v>-7.0527350000000002</v>
      </c>
      <c r="E55" s="278">
        <f t="shared" ref="E55:N55" si="15">+E56+E57</f>
        <v>-27.739460000000001</v>
      </c>
      <c r="F55" s="278">
        <f t="shared" si="15"/>
        <v>15.866</v>
      </c>
      <c r="G55" s="278">
        <f t="shared" si="15"/>
        <v>-10.0783447800001</v>
      </c>
      <c r="H55" s="278">
        <f t="shared" si="15"/>
        <v>95.120235210000004</v>
      </c>
      <c r="I55" s="278">
        <f t="shared" si="15"/>
        <v>167.077</v>
      </c>
      <c r="J55" s="278">
        <f t="shared" si="15"/>
        <v>43.145394430000003</v>
      </c>
      <c r="K55" s="278">
        <f t="shared" si="15"/>
        <v>15.428629839999999</v>
      </c>
      <c r="L55" s="278">
        <f t="shared" si="15"/>
        <v>40.101946460000001</v>
      </c>
      <c r="M55" s="278">
        <f t="shared" si="15"/>
        <v>38.256307200000002</v>
      </c>
      <c r="N55" s="273">
        <f t="shared" si="15"/>
        <v>37.545999999999999</v>
      </c>
      <c r="O55" s="273">
        <f t="shared" si="2"/>
        <v>755.72700436000002</v>
      </c>
      <c r="P55" s="2"/>
      <c r="Q55" s="9"/>
    </row>
    <row r="56" spans="2:17" hidden="1">
      <c r="B56" s="265" t="s">
        <v>280</v>
      </c>
      <c r="C56" s="277"/>
      <c r="D56" s="278"/>
      <c r="E56" s="278"/>
      <c r="F56" s="278"/>
      <c r="G56" s="278">
        <v>-0.60614285000000001</v>
      </c>
      <c r="H56" s="278"/>
      <c r="I56" s="278"/>
      <c r="J56" s="278"/>
      <c r="K56" s="278"/>
      <c r="L56" s="278"/>
      <c r="M56" s="278"/>
      <c r="N56" s="273"/>
      <c r="O56" s="273">
        <f t="shared" si="2"/>
        <v>-0.60614285000000001</v>
      </c>
      <c r="P56" s="2"/>
      <c r="Q56" s="9"/>
    </row>
    <row r="57" spans="2:17" hidden="1">
      <c r="B57" s="265" t="s">
        <v>281</v>
      </c>
      <c r="C57" s="277">
        <v>348.05603100000002</v>
      </c>
      <c r="D57" s="278">
        <v>-7.0527350000000002</v>
      </c>
      <c r="E57" s="278">
        <v>-27.739460000000001</v>
      </c>
      <c r="F57" s="278">
        <v>15.866</v>
      </c>
      <c r="G57" s="278">
        <v>-9.4722019300001001</v>
      </c>
      <c r="H57" s="278">
        <v>95.120235210000004</v>
      </c>
      <c r="I57" s="278">
        <v>167.077</v>
      </c>
      <c r="J57" s="278">
        <v>43.145394430000003</v>
      </c>
      <c r="K57" s="278">
        <v>15.428629839999999</v>
      </c>
      <c r="L57" s="278">
        <v>40.101946460000001</v>
      </c>
      <c r="M57" s="278">
        <v>38.256307200000002</v>
      </c>
      <c r="N57" s="273">
        <v>37.545999999999999</v>
      </c>
      <c r="O57" s="273">
        <f t="shared" si="2"/>
        <v>756.33314720999999</v>
      </c>
      <c r="P57" s="2"/>
      <c r="Q57" s="9"/>
    </row>
    <row r="58" spans="2:17" hidden="1">
      <c r="B58" s="35" t="s">
        <v>282</v>
      </c>
      <c r="C58" s="277">
        <f>+C59+C60</f>
        <v>-165.84105075999997</v>
      </c>
      <c r="D58" s="278">
        <f>+D59+D60</f>
        <v>62.148562380000001</v>
      </c>
      <c r="E58" s="278">
        <f t="shared" ref="E58:N58" si="16">+E59+E60</f>
        <v>33.704148410000002</v>
      </c>
      <c r="F58" s="278">
        <f t="shared" si="16"/>
        <v>-280.88050949000001</v>
      </c>
      <c r="G58" s="278">
        <f t="shared" si="16"/>
        <v>79.454609009999984</v>
      </c>
      <c r="H58" s="278">
        <f t="shared" si="16"/>
        <v>79.016338280000014</v>
      </c>
      <c r="I58" s="278">
        <f t="shared" si="16"/>
        <v>0.18532916999999571</v>
      </c>
      <c r="J58" s="278">
        <f t="shared" si="16"/>
        <v>-20.476842959999999</v>
      </c>
      <c r="K58" s="278">
        <f t="shared" si="16"/>
        <v>66.337186180000003</v>
      </c>
      <c r="L58" s="278">
        <f t="shared" si="16"/>
        <v>-7.0620907499999923</v>
      </c>
      <c r="M58" s="278">
        <f t="shared" si="16"/>
        <v>-46.106897279999998</v>
      </c>
      <c r="N58" s="273">
        <f t="shared" si="16"/>
        <v>60.151975129999997</v>
      </c>
      <c r="O58" s="273">
        <f t="shared" si="2"/>
        <v>-139.36924267999996</v>
      </c>
      <c r="P58" s="2"/>
      <c r="Q58" s="9"/>
    </row>
    <row r="59" spans="2:17" hidden="1">
      <c r="B59" s="265" t="s">
        <v>280</v>
      </c>
      <c r="C59" s="277">
        <v>-148.36505075999997</v>
      </c>
      <c r="D59" s="278">
        <v>72.479562380000004</v>
      </c>
      <c r="E59" s="278">
        <v>40.500148410000001</v>
      </c>
      <c r="F59" s="278">
        <v>8.1814905099999997</v>
      </c>
      <c r="G59" s="278">
        <v>-69.733390990000004</v>
      </c>
      <c r="H59" s="278">
        <v>17.508338280000004</v>
      </c>
      <c r="I59" s="278">
        <v>-19.732670830000004</v>
      </c>
      <c r="J59" s="278">
        <v>13.07015704</v>
      </c>
      <c r="K59" s="278">
        <v>26.810186179999999</v>
      </c>
      <c r="L59" s="278">
        <v>-10.175090749999992</v>
      </c>
      <c r="M59" s="278">
        <v>5.9111027200000024</v>
      </c>
      <c r="N59" s="273">
        <v>37.083975129999999</v>
      </c>
      <c r="O59" s="273">
        <f t="shared" si="2"/>
        <v>-26.46124267999997</v>
      </c>
      <c r="P59" s="2"/>
      <c r="Q59" s="9"/>
    </row>
    <row r="60" spans="2:17" hidden="1">
      <c r="B60" s="265" t="s">
        <v>281</v>
      </c>
      <c r="C60" s="277">
        <v>-17.475999999999999</v>
      </c>
      <c r="D60" s="278">
        <v>-10.331</v>
      </c>
      <c r="E60" s="278">
        <v>-6.7960000000000003</v>
      </c>
      <c r="F60" s="278">
        <v>-289.06200000000001</v>
      </c>
      <c r="G60" s="278">
        <v>149.18799999999999</v>
      </c>
      <c r="H60" s="278">
        <v>61.508000000000003</v>
      </c>
      <c r="I60" s="278">
        <v>19.917999999999999</v>
      </c>
      <c r="J60" s="278">
        <v>-33.546999999999997</v>
      </c>
      <c r="K60" s="278">
        <v>39.527000000000001</v>
      </c>
      <c r="L60" s="278">
        <v>3.113</v>
      </c>
      <c r="M60" s="278">
        <v>-52.018000000000001</v>
      </c>
      <c r="N60" s="273">
        <v>23.068000000000001</v>
      </c>
      <c r="O60" s="273">
        <f t="shared" si="2"/>
        <v>-112.908</v>
      </c>
      <c r="P60" s="2"/>
      <c r="Q60" s="9"/>
    </row>
    <row r="61" spans="2:17" hidden="1">
      <c r="B61" s="35" t="s">
        <v>283</v>
      </c>
      <c r="C61" s="277">
        <f>+C62+C63</f>
        <v>0</v>
      </c>
      <c r="D61" s="278">
        <f>+D62+D63</f>
        <v>0</v>
      </c>
      <c r="E61" s="278">
        <f t="shared" ref="E61:N61" si="17">+E62+E63</f>
        <v>0</v>
      </c>
      <c r="F61" s="278">
        <f t="shared" si="17"/>
        <v>0</v>
      </c>
      <c r="G61" s="278">
        <f t="shared" si="17"/>
        <v>0</v>
      </c>
      <c r="H61" s="278">
        <f t="shared" si="17"/>
        <v>0</v>
      </c>
      <c r="I61" s="278">
        <f t="shared" si="17"/>
        <v>0</v>
      </c>
      <c r="J61" s="278">
        <f t="shared" si="17"/>
        <v>0</v>
      </c>
      <c r="K61" s="278">
        <f t="shared" si="17"/>
        <v>0</v>
      </c>
      <c r="L61" s="278">
        <f t="shared" si="17"/>
        <v>0</v>
      </c>
      <c r="M61" s="278">
        <f t="shared" si="17"/>
        <v>0</v>
      </c>
      <c r="N61" s="273">
        <f t="shared" si="17"/>
        <v>0</v>
      </c>
      <c r="O61" s="273">
        <f t="shared" si="2"/>
        <v>0</v>
      </c>
      <c r="P61" s="2"/>
      <c r="Q61" s="9"/>
    </row>
    <row r="62" spans="2:17" hidden="1">
      <c r="B62" s="265" t="s">
        <v>280</v>
      </c>
      <c r="C62" s="277"/>
      <c r="D62" s="278"/>
      <c r="E62" s="278"/>
      <c r="F62" s="278"/>
      <c r="G62" s="278"/>
      <c r="H62" s="278"/>
      <c r="I62" s="278"/>
      <c r="J62" s="278"/>
      <c r="K62" s="278"/>
      <c r="L62" s="278"/>
      <c r="M62" s="278"/>
      <c r="N62" s="273"/>
      <c r="O62" s="273">
        <f t="shared" si="2"/>
        <v>0</v>
      </c>
      <c r="P62" s="2"/>
      <c r="Q62" s="9"/>
    </row>
    <row r="63" spans="2:17" hidden="1">
      <c r="B63" s="265" t="s">
        <v>281</v>
      </c>
      <c r="C63" s="277"/>
      <c r="D63" s="278"/>
      <c r="E63" s="278"/>
      <c r="F63" s="278"/>
      <c r="G63" s="278"/>
      <c r="H63" s="278"/>
      <c r="I63" s="278"/>
      <c r="J63" s="278"/>
      <c r="K63" s="278"/>
      <c r="L63" s="278"/>
      <c r="M63" s="278"/>
      <c r="N63" s="273"/>
      <c r="O63" s="273">
        <f t="shared" si="2"/>
        <v>0</v>
      </c>
      <c r="P63" s="2"/>
      <c r="Q63" s="9"/>
    </row>
    <row r="64" spans="2:17" hidden="1">
      <c r="B64" s="35" t="s">
        <v>284</v>
      </c>
      <c r="C64" s="277">
        <v>-139.77691845000001</v>
      </c>
      <c r="D64" s="278">
        <v>36.02390157</v>
      </c>
      <c r="E64" s="278">
        <v>52.670883180000004</v>
      </c>
      <c r="F64" s="278">
        <v>31.512349010000001</v>
      </c>
      <c r="G64" s="278">
        <v>13.814605459999999</v>
      </c>
      <c r="H64" s="278">
        <v>12.89631035999999</v>
      </c>
      <c r="I64" s="278">
        <v>-22.548257369999991</v>
      </c>
      <c r="J64" s="278">
        <v>34.050964639999997</v>
      </c>
      <c r="K64" s="278">
        <v>32.441927980000003</v>
      </c>
      <c r="L64" s="278">
        <v>7.739749230000001</v>
      </c>
      <c r="M64" s="278">
        <v>29.87168754</v>
      </c>
      <c r="N64" s="273">
        <v>71.098293349999992</v>
      </c>
      <c r="O64" s="273">
        <f t="shared" si="2"/>
        <v>159.79549649999996</v>
      </c>
      <c r="P64" s="2"/>
      <c r="Q64" s="9"/>
    </row>
    <row r="65" spans="2:17" hidden="1">
      <c r="B65" s="35" t="s">
        <v>285</v>
      </c>
      <c r="C65" s="277">
        <f>SUM(C66:C70)</f>
        <v>-9.134006370000094</v>
      </c>
      <c r="D65" s="278">
        <f>SUM(D66:D70)</f>
        <v>-18.720415590000044</v>
      </c>
      <c r="E65" s="278">
        <f t="shared" ref="E65:N65" si="18">SUM(E66:E70)</f>
        <v>-35.193765329999998</v>
      </c>
      <c r="F65" s="278">
        <f t="shared" si="18"/>
        <v>-32.967964570000092</v>
      </c>
      <c r="G65" s="278">
        <f t="shared" si="18"/>
        <v>84.216079529000012</v>
      </c>
      <c r="H65" s="278">
        <f t="shared" si="18"/>
        <v>-75.101041004000052</v>
      </c>
      <c r="I65" s="278">
        <f t="shared" si="18"/>
        <v>-63.899036740000042</v>
      </c>
      <c r="J65" s="278">
        <f t="shared" si="18"/>
        <v>-3.1718850200000759</v>
      </c>
      <c r="K65" s="278">
        <f t="shared" si="18"/>
        <v>-67.111618270000065</v>
      </c>
      <c r="L65" s="278">
        <f t="shared" si="18"/>
        <v>-43.123309739999982</v>
      </c>
      <c r="M65" s="278">
        <f t="shared" si="18"/>
        <v>23.006093879999945</v>
      </c>
      <c r="N65" s="273">
        <f t="shared" si="18"/>
        <v>-74.885358619999778</v>
      </c>
      <c r="O65" s="273">
        <f t="shared" si="2"/>
        <v>-316.08622784500028</v>
      </c>
      <c r="P65" s="2"/>
      <c r="Q65" s="9"/>
    </row>
    <row r="66" spans="2:17" hidden="1">
      <c r="B66" s="265" t="s">
        <v>286</v>
      </c>
      <c r="C66" s="277"/>
      <c r="D66" s="278"/>
      <c r="E66" s="278"/>
      <c r="F66" s="278"/>
      <c r="G66" s="278"/>
      <c r="H66" s="278"/>
      <c r="I66" s="278"/>
      <c r="J66" s="278"/>
      <c r="K66" s="278"/>
      <c r="L66" s="278"/>
      <c r="M66" s="278"/>
      <c r="N66" s="273"/>
      <c r="O66" s="273">
        <f t="shared" si="2"/>
        <v>0</v>
      </c>
      <c r="P66" s="2"/>
      <c r="Q66" s="9"/>
    </row>
    <row r="67" spans="2:17" hidden="1">
      <c r="B67" s="265" t="s">
        <v>287</v>
      </c>
      <c r="C67" s="277"/>
      <c r="D67" s="278"/>
      <c r="E67" s="278"/>
      <c r="F67" s="278"/>
      <c r="G67" s="278"/>
      <c r="H67" s="278"/>
      <c r="I67" s="278"/>
      <c r="J67" s="278"/>
      <c r="K67" s="278"/>
      <c r="L67" s="278"/>
      <c r="M67" s="278"/>
      <c r="N67" s="273"/>
      <c r="O67" s="273">
        <f t="shared" si="2"/>
        <v>0</v>
      </c>
      <c r="P67" s="2"/>
      <c r="Q67" s="9"/>
    </row>
    <row r="68" spans="2:17" hidden="1">
      <c r="B68" s="265" t="s">
        <v>288</v>
      </c>
      <c r="C68" s="277"/>
      <c r="D68" s="278"/>
      <c r="E68" s="278"/>
      <c r="F68" s="278"/>
      <c r="G68" s="278"/>
      <c r="H68" s="278"/>
      <c r="I68" s="278"/>
      <c r="J68" s="278"/>
      <c r="K68" s="278"/>
      <c r="L68" s="278"/>
      <c r="M68" s="278"/>
      <c r="N68" s="273"/>
      <c r="O68" s="273">
        <f t="shared" si="2"/>
        <v>0</v>
      </c>
      <c r="P68" s="2"/>
      <c r="Q68" s="9"/>
    </row>
    <row r="69" spans="2:17" hidden="1">
      <c r="B69" s="265" t="s">
        <v>289</v>
      </c>
      <c r="C69" s="277">
        <v>-34.509989340000004</v>
      </c>
      <c r="D69" s="278">
        <v>-34.12373375</v>
      </c>
      <c r="E69" s="278">
        <v>-34.447763250000001</v>
      </c>
      <c r="F69" s="278">
        <v>-34.14188566</v>
      </c>
      <c r="G69" s="278">
        <v>-34.312159430000001</v>
      </c>
      <c r="H69" s="278">
        <v>-34.463031889999996</v>
      </c>
      <c r="I69" s="278">
        <v>-35.501049960000003</v>
      </c>
      <c r="J69" s="278">
        <v>-35.26072027</v>
      </c>
      <c r="K69" s="278">
        <v>-35.43829221</v>
      </c>
      <c r="L69" s="278">
        <v>-35.754606600000002</v>
      </c>
      <c r="M69" s="278">
        <v>-37.8477581</v>
      </c>
      <c r="N69" s="273">
        <v>-56.46924851</v>
      </c>
      <c r="O69" s="273">
        <f t="shared" si="2"/>
        <v>-442.27023896999998</v>
      </c>
      <c r="P69" s="2"/>
      <c r="Q69" s="9"/>
    </row>
    <row r="70" spans="2:17" hidden="1">
      <c r="B70" s="265" t="s">
        <v>285</v>
      </c>
      <c r="C70" s="277">
        <v>25.37598296999991</v>
      </c>
      <c r="D70" s="278">
        <v>15.403318159999955</v>
      </c>
      <c r="E70" s="278">
        <v>-0.74600207999999668</v>
      </c>
      <c r="F70" s="278">
        <v>1.173921089999908</v>
      </c>
      <c r="G70" s="278">
        <v>118.52823895900002</v>
      </c>
      <c r="H70" s="278">
        <v>-40.638009114000056</v>
      </c>
      <c r="I70" s="278">
        <v>-28.397986780000039</v>
      </c>
      <c r="J70" s="278">
        <v>32.088835249999924</v>
      </c>
      <c r="K70" s="278">
        <v>-31.673326060000065</v>
      </c>
      <c r="L70" s="278">
        <v>-7.3687031399999796</v>
      </c>
      <c r="M70" s="278">
        <v>60.853851979999945</v>
      </c>
      <c r="N70" s="273">
        <v>-18.416110109999778</v>
      </c>
      <c r="O70" s="273">
        <f t="shared" si="2"/>
        <v>126.18401112499973</v>
      </c>
      <c r="P70" s="2"/>
      <c r="Q70" s="9"/>
    </row>
    <row r="71" spans="2:17" ht="24.95" hidden="1" customHeight="1">
      <c r="B71" s="25" t="s">
        <v>290</v>
      </c>
      <c r="C71" s="270">
        <f>-C48-C51-C54</f>
        <v>0</v>
      </c>
      <c r="D71" s="246">
        <f>-D48-D51-D54</f>
        <v>0</v>
      </c>
      <c r="E71" s="246">
        <f t="shared" ref="E71:N71" si="19">-E48-E51-E54</f>
        <v>0</v>
      </c>
      <c r="F71" s="246">
        <f t="shared" si="19"/>
        <v>0</v>
      </c>
      <c r="G71" s="246">
        <f t="shared" si="19"/>
        <v>0</v>
      </c>
      <c r="H71" s="246">
        <f t="shared" si="19"/>
        <v>0</v>
      </c>
      <c r="I71" s="246">
        <f t="shared" si="19"/>
        <v>0</v>
      </c>
      <c r="J71" s="246">
        <f t="shared" si="19"/>
        <v>0</v>
      </c>
      <c r="K71" s="246">
        <f t="shared" si="19"/>
        <v>0</v>
      </c>
      <c r="L71" s="246">
        <f t="shared" si="19"/>
        <v>0</v>
      </c>
      <c r="M71" s="246">
        <f t="shared" si="19"/>
        <v>0</v>
      </c>
      <c r="N71" s="271">
        <f t="shared" si="19"/>
        <v>0</v>
      </c>
      <c r="O71" s="271">
        <f t="shared" si="2"/>
        <v>0</v>
      </c>
      <c r="P71" s="2"/>
      <c r="Q71" s="9"/>
    </row>
    <row r="72" spans="2:17" hidden="1">
      <c r="B72" s="42"/>
      <c r="C72" s="277"/>
      <c r="D72" s="278"/>
      <c r="E72" s="278"/>
      <c r="F72" s="278"/>
      <c r="G72" s="278"/>
      <c r="H72" s="278"/>
      <c r="I72" s="278"/>
      <c r="J72" s="278"/>
      <c r="K72" s="278"/>
      <c r="L72" s="278"/>
      <c r="M72" s="278"/>
      <c r="N72" s="273"/>
      <c r="O72" s="273"/>
      <c r="P72" s="2"/>
      <c r="Q72" s="9"/>
    </row>
    <row r="73" spans="2:17" ht="24.95" hidden="1" customHeight="1">
      <c r="B73" s="25" t="s">
        <v>291</v>
      </c>
      <c r="C73" s="270">
        <v>34.509989340000004</v>
      </c>
      <c r="D73" s="246">
        <v>34.12373375</v>
      </c>
      <c r="E73" s="246">
        <v>34.447763250000001</v>
      </c>
      <c r="F73" s="246">
        <v>34.14188566</v>
      </c>
      <c r="G73" s="246">
        <v>34.312159430000001</v>
      </c>
      <c r="H73" s="246">
        <v>34.463031889999996</v>
      </c>
      <c r="I73" s="246">
        <v>35.501049960000003</v>
      </c>
      <c r="J73" s="246">
        <v>35.26072027</v>
      </c>
      <c r="K73" s="246">
        <v>35.43829221</v>
      </c>
      <c r="L73" s="246">
        <v>35.754606600000002</v>
      </c>
      <c r="M73" s="246">
        <v>37.8477581</v>
      </c>
      <c r="N73" s="271">
        <v>56.46924851</v>
      </c>
      <c r="O73" s="271">
        <f>SUM(C73:N73)</f>
        <v>442.27023896999998</v>
      </c>
      <c r="P73" s="2"/>
      <c r="Q73" s="9"/>
    </row>
    <row r="74" spans="2:17" ht="24.95" hidden="1" customHeight="1">
      <c r="B74" s="25" t="s">
        <v>292</v>
      </c>
      <c r="C74" s="277"/>
      <c r="D74" s="278"/>
      <c r="E74" s="278"/>
      <c r="F74" s="278"/>
      <c r="G74" s="278"/>
      <c r="H74" s="278"/>
      <c r="I74" s="278"/>
      <c r="J74" s="278"/>
      <c r="K74" s="278"/>
      <c r="L74" s="278"/>
      <c r="M74" s="278"/>
      <c r="N74" s="273"/>
      <c r="O74" s="273">
        <f>SUM(C74:N74)</f>
        <v>0</v>
      </c>
      <c r="P74" s="2"/>
      <c r="Q74" s="9"/>
    </row>
    <row r="75" spans="2:17" ht="24.95" hidden="1" customHeight="1">
      <c r="B75" s="38" t="s">
        <v>56</v>
      </c>
      <c r="C75" s="279"/>
      <c r="D75" s="280"/>
      <c r="E75" s="280"/>
      <c r="F75" s="280"/>
      <c r="G75" s="280"/>
      <c r="H75" s="280"/>
      <c r="I75" s="280"/>
      <c r="J75" s="280"/>
      <c r="K75" s="280"/>
      <c r="L75" s="280"/>
      <c r="M75" s="280"/>
      <c r="N75" s="281"/>
      <c r="O75" s="284">
        <v>21990.959999999999</v>
      </c>
      <c r="P75" s="2"/>
      <c r="Q75" s="9"/>
    </row>
    <row r="76" spans="2:17" ht="6" customHeight="1">
      <c r="B76" s="2"/>
      <c r="C76" s="2"/>
      <c r="D76" s="2"/>
      <c r="E76" s="2"/>
      <c r="F76" s="2"/>
      <c r="G76" s="2"/>
      <c r="H76" s="2"/>
      <c r="I76" s="2"/>
      <c r="J76" s="2"/>
      <c r="K76" s="2"/>
      <c r="L76" s="2"/>
      <c r="M76" s="2"/>
      <c r="N76" s="2"/>
      <c r="O76" s="2"/>
      <c r="P76" s="2"/>
      <c r="Q76" s="9"/>
    </row>
    <row r="77" spans="2:17">
      <c r="B77" s="2" t="s">
        <v>293</v>
      </c>
      <c r="C77" s="2"/>
      <c r="D77" s="2"/>
      <c r="E77" s="2"/>
      <c r="F77" s="2"/>
      <c r="G77" s="2"/>
      <c r="H77" s="2"/>
      <c r="I77" s="2"/>
      <c r="J77" s="2"/>
      <c r="K77" s="2"/>
      <c r="L77" s="2"/>
      <c r="M77" s="2"/>
      <c r="N77" s="2"/>
      <c r="O77" s="2"/>
      <c r="P77" s="2"/>
      <c r="Q77" s="9"/>
    </row>
    <row r="78" spans="2:17">
      <c r="B78" s="2"/>
      <c r="C78" s="2"/>
      <c r="D78" s="2"/>
      <c r="E78" s="2"/>
      <c r="F78" s="2"/>
      <c r="G78" s="2"/>
      <c r="H78" s="2"/>
      <c r="I78" s="2"/>
      <c r="J78" s="2"/>
      <c r="K78" s="2"/>
      <c r="L78" s="2"/>
      <c r="M78" s="2"/>
      <c r="N78" s="2"/>
      <c r="O78" s="2"/>
      <c r="P78" s="2"/>
      <c r="Q78" s="9"/>
    </row>
  </sheetData>
  <printOptions horizontalCentered="1"/>
  <pageMargins left="0.7" right="0.7" top="0.75" bottom="0.75" header="0.3" footer="0.3"/>
  <pageSetup scale="71" orientation="landscape" r:id="rId1"/>
  <ignoredErrors>
    <ignoredError sqref="C9:N9"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P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s>
  <sheetData>
    <row r="2" spans="2:16">
      <c r="B2" s="234" t="s">
        <v>18</v>
      </c>
      <c r="C2" s="2"/>
      <c r="D2" s="2"/>
      <c r="E2" s="2"/>
      <c r="F2" s="2"/>
      <c r="G2" s="2"/>
      <c r="H2" s="2"/>
      <c r="I2" s="2"/>
      <c r="J2" s="2"/>
      <c r="K2" s="2"/>
      <c r="L2" s="2"/>
      <c r="M2" s="2"/>
      <c r="N2" s="2"/>
      <c r="O2" s="2"/>
      <c r="P2" s="2"/>
    </row>
    <row r="3" spans="2:16">
      <c r="B3" s="234" t="s">
        <v>305</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306</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375.64308762999997</v>
      </c>
      <c r="D8" s="246">
        <f>+D9+D13+D14</f>
        <v>299.37214458999995</v>
      </c>
      <c r="E8" s="246">
        <f t="shared" ref="E8:N8" si="0">+E9+E13+E14</f>
        <v>317.94159973000006</v>
      </c>
      <c r="F8" s="246">
        <f t="shared" si="0"/>
        <v>660.80668181999999</v>
      </c>
      <c r="G8" s="246">
        <f t="shared" si="0"/>
        <v>317.14621455999998</v>
      </c>
      <c r="H8" s="246">
        <f t="shared" si="0"/>
        <v>310.61670876000005</v>
      </c>
      <c r="I8" s="246">
        <f t="shared" si="0"/>
        <v>321.6953466199999</v>
      </c>
      <c r="J8" s="246">
        <f t="shared" si="0"/>
        <v>295.21702837000004</v>
      </c>
      <c r="K8" s="246">
        <f t="shared" si="0"/>
        <v>294.22384957000008</v>
      </c>
      <c r="L8" s="246">
        <f t="shared" si="0"/>
        <v>322.66384472000004</v>
      </c>
      <c r="M8" s="246">
        <f t="shared" si="0"/>
        <v>315.1419458200001</v>
      </c>
      <c r="N8" s="271">
        <f t="shared" si="0"/>
        <v>321.29924449999999</v>
      </c>
      <c r="O8" s="271">
        <f>SUM(C8:N8)</f>
        <v>4151.7676966899999</v>
      </c>
      <c r="P8" s="2"/>
    </row>
    <row r="9" spans="2:16" ht="18" customHeight="1">
      <c r="B9" s="272" t="s">
        <v>240</v>
      </c>
      <c r="C9" s="270">
        <f>SUM(C10:C12)</f>
        <v>375.59208662999998</v>
      </c>
      <c r="D9" s="246">
        <f>SUM(D10:D12)</f>
        <v>298.44938821999995</v>
      </c>
      <c r="E9" s="246">
        <f t="shared" ref="E9:N9" si="1">SUM(E10:E12)</f>
        <v>316.14748117000005</v>
      </c>
      <c r="F9" s="246">
        <f t="shared" si="1"/>
        <v>658.94682602</v>
      </c>
      <c r="G9" s="246">
        <f t="shared" si="1"/>
        <v>316.42540292999996</v>
      </c>
      <c r="H9" s="246">
        <f t="shared" si="1"/>
        <v>309.05420962000005</v>
      </c>
      <c r="I9" s="246">
        <f t="shared" si="1"/>
        <v>321.10658176999988</v>
      </c>
      <c r="J9" s="246">
        <f t="shared" si="1"/>
        <v>293.24438561000005</v>
      </c>
      <c r="K9" s="246">
        <f t="shared" si="1"/>
        <v>293.84108957000007</v>
      </c>
      <c r="L9" s="246">
        <f t="shared" si="1"/>
        <v>320.98247072000004</v>
      </c>
      <c r="M9" s="246">
        <f t="shared" si="1"/>
        <v>314.46075745000013</v>
      </c>
      <c r="N9" s="271">
        <f t="shared" si="1"/>
        <v>319.45210882999999</v>
      </c>
      <c r="O9" s="271">
        <f>SUM(C9:N9)</f>
        <v>4137.7027885400003</v>
      </c>
      <c r="P9" s="2"/>
    </row>
    <row r="10" spans="2:16">
      <c r="B10" s="265" t="s">
        <v>241</v>
      </c>
      <c r="C10" s="277">
        <v>363.11323425</v>
      </c>
      <c r="D10" s="278">
        <v>284.12125528999997</v>
      </c>
      <c r="E10" s="278">
        <v>301.40839474000006</v>
      </c>
      <c r="F10" s="278">
        <v>646.72542178000003</v>
      </c>
      <c r="G10" s="278">
        <v>301.12249155000001</v>
      </c>
      <c r="H10" s="278">
        <v>298.23669981000006</v>
      </c>
      <c r="I10" s="278">
        <v>306.73803385999992</v>
      </c>
      <c r="J10" s="278">
        <v>282.97127624000001</v>
      </c>
      <c r="K10" s="278">
        <v>283.16589436000004</v>
      </c>
      <c r="L10" s="278">
        <v>308.68872085000004</v>
      </c>
      <c r="M10" s="278">
        <v>303.89821060000008</v>
      </c>
      <c r="N10" s="273">
        <v>308.82659944</v>
      </c>
      <c r="O10" s="273">
        <f>SUM(C10:N10)</f>
        <v>3989.01623277</v>
      </c>
      <c r="P10" s="2"/>
    </row>
    <row r="11" spans="2:16">
      <c r="B11" s="265" t="s">
        <v>242</v>
      </c>
      <c r="C11" s="277">
        <v>12.127085899999999</v>
      </c>
      <c r="D11" s="278">
        <v>14.172451259999999</v>
      </c>
      <c r="E11" s="278">
        <v>14.73908643</v>
      </c>
      <c r="F11" s="278">
        <v>12.221404239999998</v>
      </c>
      <c r="G11" s="278">
        <v>13.080524519999999</v>
      </c>
      <c r="H11" s="278">
        <v>10.742509810000001</v>
      </c>
      <c r="I11" s="278">
        <v>14.293547910000001</v>
      </c>
      <c r="J11" s="278">
        <v>10.173109370000001</v>
      </c>
      <c r="K11" s="278">
        <v>10.57519521</v>
      </c>
      <c r="L11" s="278">
        <v>12.19374987</v>
      </c>
      <c r="M11" s="278">
        <v>10.462546850000001</v>
      </c>
      <c r="N11" s="273">
        <v>10.625509390000001</v>
      </c>
      <c r="O11" s="273">
        <f t="shared" ref="O11:O71" si="2">SUM(C11:N11)</f>
        <v>145.40672076000001</v>
      </c>
      <c r="P11" s="2"/>
    </row>
    <row r="12" spans="2:16">
      <c r="B12" s="265" t="s">
        <v>243</v>
      </c>
      <c r="C12" s="277">
        <v>0.35176647999999999</v>
      </c>
      <c r="D12" s="278">
        <v>0.15568167000000002</v>
      </c>
      <c r="E12" s="278">
        <v>0</v>
      </c>
      <c r="F12" s="278">
        <v>0</v>
      </c>
      <c r="G12" s="278">
        <v>2.2223868599999999</v>
      </c>
      <c r="H12" s="278">
        <v>7.4999999999999997E-2</v>
      </c>
      <c r="I12" s="278">
        <v>7.4999999999999997E-2</v>
      </c>
      <c r="J12" s="278">
        <v>0.1</v>
      </c>
      <c r="K12" s="278">
        <v>0.1</v>
      </c>
      <c r="L12" s="278">
        <v>0.1</v>
      </c>
      <c r="M12" s="278">
        <v>0.1</v>
      </c>
      <c r="N12" s="273">
        <v>0</v>
      </c>
      <c r="O12" s="273">
        <f t="shared" si="2"/>
        <v>3.2798350100000007</v>
      </c>
      <c r="P12" s="2"/>
    </row>
    <row r="13" spans="2:16" ht="18" customHeight="1">
      <c r="B13" s="272" t="s">
        <v>244</v>
      </c>
      <c r="C13" s="270">
        <v>0</v>
      </c>
      <c r="D13" s="246">
        <v>2.1772499999999999E-3</v>
      </c>
      <c r="E13" s="246">
        <v>0</v>
      </c>
      <c r="F13" s="246">
        <v>0</v>
      </c>
      <c r="G13" s="246">
        <v>1.253056E-2</v>
      </c>
      <c r="H13" s="246">
        <v>0</v>
      </c>
      <c r="I13" s="246">
        <v>0</v>
      </c>
      <c r="J13" s="246">
        <v>0</v>
      </c>
      <c r="K13" s="246">
        <v>1.24E-2</v>
      </c>
      <c r="L13" s="246">
        <v>9.5508799999999994E-3</v>
      </c>
      <c r="M13" s="246">
        <v>0</v>
      </c>
      <c r="N13" s="271">
        <v>1.6991E-4</v>
      </c>
      <c r="O13" s="271">
        <f t="shared" si="2"/>
        <v>3.6828600000000003E-2</v>
      </c>
      <c r="P13" s="2"/>
    </row>
    <row r="14" spans="2:16" ht="18" customHeight="1">
      <c r="B14" s="272" t="s">
        <v>245</v>
      </c>
      <c r="C14" s="270">
        <v>5.1000999999999991E-2</v>
      </c>
      <c r="D14" s="246">
        <v>0.92057912000000008</v>
      </c>
      <c r="E14" s="246">
        <v>1.7941185599999998</v>
      </c>
      <c r="F14" s="246">
        <v>1.8598558000000001</v>
      </c>
      <c r="G14" s="246">
        <v>0.70828106999999985</v>
      </c>
      <c r="H14" s="246">
        <v>1.5624991400000003</v>
      </c>
      <c r="I14" s="246">
        <v>0.58876485000000001</v>
      </c>
      <c r="J14" s="246">
        <v>1.9726427599999998</v>
      </c>
      <c r="K14" s="246">
        <v>0.37036000000000002</v>
      </c>
      <c r="L14" s="246">
        <v>1.67182312</v>
      </c>
      <c r="M14" s="246">
        <v>0.68118836999999999</v>
      </c>
      <c r="N14" s="271">
        <v>1.8469657600000002</v>
      </c>
      <c r="O14" s="271">
        <f t="shared" si="2"/>
        <v>14.028079549999999</v>
      </c>
      <c r="P14" s="2"/>
    </row>
    <row r="15" spans="2:16" ht="24.95" customHeight="1">
      <c r="B15" s="25" t="s">
        <v>246</v>
      </c>
      <c r="C15" s="270">
        <f>+C16+C29+C40</f>
        <v>376.65139607999993</v>
      </c>
      <c r="D15" s="246">
        <f>+D16+D29+D40</f>
        <v>335.87039627000001</v>
      </c>
      <c r="E15" s="246">
        <f t="shared" ref="E15:N15" si="3">+E16+E29+E40</f>
        <v>330.22806567999999</v>
      </c>
      <c r="F15" s="246">
        <f t="shared" si="3"/>
        <v>371.01856965999997</v>
      </c>
      <c r="G15" s="246">
        <f t="shared" si="3"/>
        <v>411.32380208000006</v>
      </c>
      <c r="H15" s="246">
        <f t="shared" si="3"/>
        <v>396.08870742999994</v>
      </c>
      <c r="I15" s="246">
        <f t="shared" si="3"/>
        <v>432.47752401999998</v>
      </c>
      <c r="J15" s="246">
        <f t="shared" si="3"/>
        <v>337.90770925000004</v>
      </c>
      <c r="K15" s="246">
        <f t="shared" si="3"/>
        <v>422.17883080999997</v>
      </c>
      <c r="L15" s="246">
        <f t="shared" si="3"/>
        <v>365.84348919000001</v>
      </c>
      <c r="M15" s="246">
        <f t="shared" si="3"/>
        <v>359.86275982999996</v>
      </c>
      <c r="N15" s="271">
        <f t="shared" si="3"/>
        <v>418.31500936000003</v>
      </c>
      <c r="O15" s="271">
        <f t="shared" si="2"/>
        <v>4557.7662596600003</v>
      </c>
      <c r="P15" s="2"/>
    </row>
    <row r="16" spans="2:16" ht="18" customHeight="1">
      <c r="B16" s="272" t="s">
        <v>247</v>
      </c>
      <c r="C16" s="270">
        <f>SUM(C17:C20)</f>
        <v>330.69090602999995</v>
      </c>
      <c r="D16" s="246">
        <f>SUM(D17:D20)</f>
        <v>282.64005868999999</v>
      </c>
      <c r="E16" s="246">
        <f t="shared" ref="E16:N16" si="4">SUM(E17:E20)</f>
        <v>274.37414774000001</v>
      </c>
      <c r="F16" s="246">
        <f t="shared" si="4"/>
        <v>315.75003948</v>
      </c>
      <c r="G16" s="246">
        <f t="shared" si="4"/>
        <v>338.33881705000005</v>
      </c>
      <c r="H16" s="246">
        <f t="shared" si="4"/>
        <v>342.14416735999998</v>
      </c>
      <c r="I16" s="246">
        <f t="shared" si="4"/>
        <v>363.70254999000002</v>
      </c>
      <c r="J16" s="246">
        <f t="shared" si="4"/>
        <v>274.02361798000004</v>
      </c>
      <c r="K16" s="246">
        <f t="shared" si="4"/>
        <v>344.16538857999996</v>
      </c>
      <c r="L16" s="246">
        <f t="shared" si="4"/>
        <v>290.42783482999999</v>
      </c>
      <c r="M16" s="246">
        <f t="shared" si="4"/>
        <v>290.51282544999998</v>
      </c>
      <c r="N16" s="271">
        <f t="shared" si="4"/>
        <v>355.43420083000001</v>
      </c>
      <c r="O16" s="271">
        <f t="shared" si="2"/>
        <v>3802.2045540099998</v>
      </c>
      <c r="P16" s="2"/>
    </row>
    <row r="17" spans="2:16">
      <c r="B17" s="265" t="s">
        <v>136</v>
      </c>
      <c r="C17" s="277">
        <v>110.46452960000001</v>
      </c>
      <c r="D17" s="278">
        <v>115.79782191000001</v>
      </c>
      <c r="E17" s="278">
        <v>115.24906831999999</v>
      </c>
      <c r="F17" s="278">
        <v>132.95438977000001</v>
      </c>
      <c r="G17" s="278">
        <v>115.57849768000001</v>
      </c>
      <c r="H17" s="278">
        <v>117.90135604999999</v>
      </c>
      <c r="I17" s="278">
        <v>118.53085388</v>
      </c>
      <c r="J17" s="278">
        <v>113.92391233000001</v>
      </c>
      <c r="K17" s="278">
        <v>114.08472537</v>
      </c>
      <c r="L17" s="278">
        <v>114.78826581</v>
      </c>
      <c r="M17" s="278">
        <v>114.79062963</v>
      </c>
      <c r="N17" s="273">
        <v>178.95820710999999</v>
      </c>
      <c r="O17" s="273">
        <f t="shared" si="2"/>
        <v>1463.0222574600002</v>
      </c>
      <c r="P17" s="2"/>
    </row>
    <row r="18" spans="2:16">
      <c r="B18" s="265" t="s">
        <v>248</v>
      </c>
      <c r="C18" s="277">
        <v>34.798856719999996</v>
      </c>
      <c r="D18" s="278">
        <v>45.433452909999993</v>
      </c>
      <c r="E18" s="278">
        <v>43.301539910000002</v>
      </c>
      <c r="F18" s="278">
        <v>38.496721770000001</v>
      </c>
      <c r="G18" s="278">
        <v>68.609794700000023</v>
      </c>
      <c r="H18" s="278">
        <v>56.412711169999994</v>
      </c>
      <c r="I18" s="278">
        <v>44.515445629999995</v>
      </c>
      <c r="J18" s="278">
        <v>39.311906490000005</v>
      </c>
      <c r="K18" s="278">
        <v>56.016384379999991</v>
      </c>
      <c r="L18" s="278">
        <v>45.817915109999987</v>
      </c>
      <c r="M18" s="278">
        <v>40.563535770000001</v>
      </c>
      <c r="N18" s="273">
        <v>29.329032479999995</v>
      </c>
      <c r="O18" s="273">
        <f t="shared" si="2"/>
        <v>542.60729704000005</v>
      </c>
      <c r="P18" s="2"/>
    </row>
    <row r="19" spans="2:16">
      <c r="B19" s="265" t="s">
        <v>249</v>
      </c>
      <c r="C19" s="277">
        <v>94.805798639999992</v>
      </c>
      <c r="D19" s="278">
        <v>29.222879270000004</v>
      </c>
      <c r="E19" s="278">
        <v>24.304606010000001</v>
      </c>
      <c r="F19" s="278">
        <v>43.503127199999994</v>
      </c>
      <c r="G19" s="278">
        <v>37.60786573</v>
      </c>
      <c r="H19" s="278">
        <v>64.842738749999995</v>
      </c>
      <c r="I19" s="278">
        <v>96.907439740000001</v>
      </c>
      <c r="J19" s="278">
        <v>27.284967409999997</v>
      </c>
      <c r="K19" s="278">
        <v>39.698755329999997</v>
      </c>
      <c r="L19" s="278">
        <v>43.311699770000004</v>
      </c>
      <c r="M19" s="278">
        <v>37.451710719999994</v>
      </c>
      <c r="N19" s="273">
        <v>53.760478740000003</v>
      </c>
      <c r="O19" s="273">
        <f t="shared" si="2"/>
        <v>592.70206731000007</v>
      </c>
      <c r="P19" s="2"/>
    </row>
    <row r="20" spans="2:16">
      <c r="B20" s="265" t="s">
        <v>250</v>
      </c>
      <c r="C20" s="277">
        <f>SUM(C21:C28)</f>
        <v>90.621721069999992</v>
      </c>
      <c r="D20" s="278">
        <f>SUM(D21:D28)</f>
        <v>92.185904600000001</v>
      </c>
      <c r="E20" s="278">
        <f t="shared" ref="E20:N20" si="5">SUM(E21:E28)</f>
        <v>91.518933500000003</v>
      </c>
      <c r="F20" s="278">
        <f t="shared" si="5"/>
        <v>100.79580073999999</v>
      </c>
      <c r="G20" s="278">
        <f t="shared" si="5"/>
        <v>116.54265894000002</v>
      </c>
      <c r="H20" s="278">
        <f t="shared" si="5"/>
        <v>102.98736138999999</v>
      </c>
      <c r="I20" s="278">
        <f t="shared" si="5"/>
        <v>103.74881074</v>
      </c>
      <c r="J20" s="278">
        <f t="shared" si="5"/>
        <v>93.502831749999984</v>
      </c>
      <c r="K20" s="278">
        <f t="shared" si="5"/>
        <v>134.36552349999999</v>
      </c>
      <c r="L20" s="278">
        <f t="shared" si="5"/>
        <v>86.509954140000005</v>
      </c>
      <c r="M20" s="278">
        <f t="shared" si="5"/>
        <v>97.70694933</v>
      </c>
      <c r="N20" s="273">
        <f t="shared" si="5"/>
        <v>93.3864825</v>
      </c>
      <c r="O20" s="273">
        <f t="shared" si="2"/>
        <v>1203.8729321999999</v>
      </c>
      <c r="P20" s="2"/>
    </row>
    <row r="21" spans="2:16">
      <c r="B21" s="274" t="s">
        <v>251</v>
      </c>
      <c r="C21" s="277">
        <v>45.065282340000003</v>
      </c>
      <c r="D21" s="278">
        <v>51.143991919999998</v>
      </c>
      <c r="E21" s="278">
        <v>49.705459280000007</v>
      </c>
      <c r="F21" s="278">
        <v>47.183437429999998</v>
      </c>
      <c r="G21" s="278">
        <v>60.633994750000014</v>
      </c>
      <c r="H21" s="278">
        <v>54.271270089999987</v>
      </c>
      <c r="I21" s="278">
        <v>47.582705280000013</v>
      </c>
      <c r="J21" s="278">
        <v>49.398953329999991</v>
      </c>
      <c r="K21" s="278">
        <v>72.079255619999998</v>
      </c>
      <c r="L21" s="278">
        <v>44.688136499999999</v>
      </c>
      <c r="M21" s="278">
        <v>48.659105750000002</v>
      </c>
      <c r="N21" s="273">
        <v>56.740455140000009</v>
      </c>
      <c r="O21" s="273">
        <f t="shared" si="2"/>
        <v>627.15204743000004</v>
      </c>
      <c r="P21" s="2"/>
    </row>
    <row r="22" spans="2:16">
      <c r="B22" s="274" t="s">
        <v>252</v>
      </c>
      <c r="C22" s="277">
        <v>0</v>
      </c>
      <c r="D22" s="278">
        <v>0</v>
      </c>
      <c r="E22" s="278">
        <v>6.6256010000000004E-2</v>
      </c>
      <c r="F22" s="278">
        <v>0</v>
      </c>
      <c r="G22" s="278">
        <v>0</v>
      </c>
      <c r="H22" s="278">
        <v>0</v>
      </c>
      <c r="I22" s="278">
        <v>0</v>
      </c>
      <c r="J22" s="278">
        <v>0</v>
      </c>
      <c r="K22" s="278">
        <v>0</v>
      </c>
      <c r="L22" s="278">
        <v>0</v>
      </c>
      <c r="M22" s="278">
        <v>0</v>
      </c>
      <c r="N22" s="273">
        <v>0</v>
      </c>
      <c r="O22" s="273">
        <f t="shared" si="2"/>
        <v>6.6256010000000004E-2</v>
      </c>
      <c r="P22" s="2"/>
    </row>
    <row r="23" spans="2:16">
      <c r="B23" s="274" t="s">
        <v>253</v>
      </c>
      <c r="C23" s="277">
        <v>0.48577218</v>
      </c>
      <c r="D23" s="278">
        <v>0.40549499999999999</v>
      </c>
      <c r="E23" s="278">
        <v>0.40269029000000001</v>
      </c>
      <c r="F23" s="278">
        <v>0.443795</v>
      </c>
      <c r="G23" s="278">
        <v>0.38015500000000002</v>
      </c>
      <c r="H23" s="278">
        <v>0.41197499999999998</v>
      </c>
      <c r="I23" s="278">
        <v>0.40113500000000002</v>
      </c>
      <c r="J23" s="278">
        <v>0.64510000000000001</v>
      </c>
      <c r="K23" s="278">
        <v>0.36196</v>
      </c>
      <c r="L23" s="278">
        <v>0.69911762</v>
      </c>
      <c r="M23" s="278">
        <v>0.36875999999999998</v>
      </c>
      <c r="N23" s="273">
        <v>0.37184499999999998</v>
      </c>
      <c r="O23" s="273">
        <f t="shared" si="2"/>
        <v>5.3778000899999991</v>
      </c>
      <c r="P23" s="2"/>
    </row>
    <row r="24" spans="2:16">
      <c r="B24" s="274" t="s">
        <v>254</v>
      </c>
      <c r="C24" s="277">
        <v>44.73756654999999</v>
      </c>
      <c r="D24" s="278">
        <v>38.601798119999998</v>
      </c>
      <c r="E24" s="278">
        <v>40.96884292</v>
      </c>
      <c r="F24" s="278">
        <v>50.643777739999997</v>
      </c>
      <c r="G24" s="278">
        <v>49.567471780000005</v>
      </c>
      <c r="H24" s="278">
        <v>47.23743906</v>
      </c>
      <c r="I24" s="278">
        <v>54.882735459999999</v>
      </c>
      <c r="J24" s="278">
        <v>42.949820419999995</v>
      </c>
      <c r="K24" s="278">
        <v>59.379483000000008</v>
      </c>
      <c r="L24" s="278">
        <v>40.720362099999996</v>
      </c>
      <c r="M24" s="278">
        <v>40.072976679999996</v>
      </c>
      <c r="N24" s="273">
        <v>33.915849349999995</v>
      </c>
      <c r="O24" s="273">
        <f t="shared" si="2"/>
        <v>543.67812317999994</v>
      </c>
      <c r="P24" s="2"/>
    </row>
    <row r="25" spans="2:16">
      <c r="B25" s="274" t="s">
        <v>255</v>
      </c>
      <c r="C25" s="277">
        <v>0</v>
      </c>
      <c r="D25" s="278">
        <v>0</v>
      </c>
      <c r="E25" s="278">
        <v>0.03</v>
      </c>
      <c r="F25" s="278">
        <v>0.63114113999999999</v>
      </c>
      <c r="G25" s="278">
        <v>2.1806790600000001</v>
      </c>
      <c r="H25" s="278">
        <v>0.57928723999999998</v>
      </c>
      <c r="I25" s="278">
        <v>0.53</v>
      </c>
      <c r="J25" s="278">
        <v>0.17780000000000001</v>
      </c>
      <c r="K25" s="278">
        <v>0.65777903000000004</v>
      </c>
      <c r="L25" s="278">
        <v>5.3792920000000008E-2</v>
      </c>
      <c r="M25" s="278">
        <v>5.4496000000000003E-2</v>
      </c>
      <c r="N25" s="273">
        <v>0.48709999999999998</v>
      </c>
      <c r="O25" s="273">
        <f t="shared" si="2"/>
        <v>5.3820753900000016</v>
      </c>
      <c r="P25" s="2"/>
    </row>
    <row r="26" spans="2:16">
      <c r="B26" s="274" t="s">
        <v>256</v>
      </c>
      <c r="C26" s="277">
        <v>0.33310000000000001</v>
      </c>
      <c r="D26" s="278">
        <v>0.42592999999999998</v>
      </c>
      <c r="E26" s="278">
        <v>0.34568500000000002</v>
      </c>
      <c r="F26" s="278">
        <v>0.43387500000000001</v>
      </c>
      <c r="G26" s="278">
        <v>0.33286500000000002</v>
      </c>
      <c r="H26" s="278">
        <v>0.48738999999999999</v>
      </c>
      <c r="I26" s="278">
        <v>0.35223500000000002</v>
      </c>
      <c r="J26" s="278">
        <v>0.33115800000000001</v>
      </c>
      <c r="K26" s="278">
        <v>0.363095</v>
      </c>
      <c r="L26" s="278">
        <v>0.34854499999999999</v>
      </c>
      <c r="M26" s="278">
        <v>0.31201699999999999</v>
      </c>
      <c r="N26" s="273">
        <v>0.40742184000000004</v>
      </c>
      <c r="O26" s="273">
        <f t="shared" si="2"/>
        <v>4.473316839999999</v>
      </c>
      <c r="P26" s="2"/>
    </row>
    <row r="27" spans="2:16">
      <c r="B27" s="274" t="s">
        <v>257</v>
      </c>
      <c r="C27" s="277"/>
      <c r="D27" s="278"/>
      <c r="E27" s="278"/>
      <c r="F27" s="278"/>
      <c r="G27" s="278"/>
      <c r="H27" s="278"/>
      <c r="I27" s="278"/>
      <c r="J27" s="278"/>
      <c r="K27" s="278"/>
      <c r="L27" s="278"/>
      <c r="M27" s="278"/>
      <c r="N27" s="273"/>
      <c r="O27" s="273">
        <f t="shared" si="2"/>
        <v>0</v>
      </c>
      <c r="P27" s="2"/>
    </row>
    <row r="28" spans="2:16">
      <c r="B28" s="274" t="s">
        <v>258</v>
      </c>
      <c r="C28" s="277">
        <v>0</v>
      </c>
      <c r="D28" s="278">
        <v>1.60868956</v>
      </c>
      <c r="E28" s="278">
        <v>0</v>
      </c>
      <c r="F28" s="278">
        <v>1.45977443</v>
      </c>
      <c r="G28" s="278">
        <v>3.4474933499999998</v>
      </c>
      <c r="H28" s="278">
        <v>0</v>
      </c>
      <c r="I28" s="278">
        <v>0</v>
      </c>
      <c r="J28" s="278">
        <v>0</v>
      </c>
      <c r="K28" s="278">
        <v>1.5239508500000001</v>
      </c>
      <c r="L28" s="278">
        <v>0</v>
      </c>
      <c r="M28" s="278">
        <v>8.2395939000000009</v>
      </c>
      <c r="N28" s="273">
        <v>1.4638111699999998</v>
      </c>
      <c r="O28" s="273">
        <f t="shared" si="2"/>
        <v>17.743313260000001</v>
      </c>
      <c r="P28" s="2"/>
    </row>
    <row r="29" spans="2:16" ht="18" customHeight="1">
      <c r="B29" s="272" t="s">
        <v>259</v>
      </c>
      <c r="C29" s="270">
        <f>SUM(C30:C31)</f>
        <v>46.169537660000003</v>
      </c>
      <c r="D29" s="246">
        <f>SUM(D30:D31)</f>
        <v>53.75033758</v>
      </c>
      <c r="E29" s="246">
        <f t="shared" ref="E29:N29" si="6">SUM(E30:E31)</f>
        <v>55.853917940000002</v>
      </c>
      <c r="F29" s="246">
        <f t="shared" si="6"/>
        <v>56.523866429999998</v>
      </c>
      <c r="G29" s="246">
        <f t="shared" si="6"/>
        <v>72.984985030000004</v>
      </c>
      <c r="H29" s="246">
        <f t="shared" si="6"/>
        <v>54.725348769999997</v>
      </c>
      <c r="I29" s="246">
        <f t="shared" si="6"/>
        <v>68.984021639999995</v>
      </c>
      <c r="J29" s="246">
        <f t="shared" si="6"/>
        <v>63.884091270000013</v>
      </c>
      <c r="K29" s="246">
        <f t="shared" si="6"/>
        <v>78.01344223000001</v>
      </c>
      <c r="L29" s="246">
        <f t="shared" si="6"/>
        <v>75.415654360000005</v>
      </c>
      <c r="M29" s="246">
        <f t="shared" si="6"/>
        <v>69.349934380000008</v>
      </c>
      <c r="N29" s="271">
        <f t="shared" si="6"/>
        <v>63.196247619999994</v>
      </c>
      <c r="O29" s="271">
        <f t="shared" si="2"/>
        <v>758.85138490999998</v>
      </c>
      <c r="P29" s="2"/>
    </row>
    <row r="30" spans="2:16">
      <c r="B30" s="265" t="s">
        <v>260</v>
      </c>
      <c r="C30" s="277">
        <v>6.5034663099999985</v>
      </c>
      <c r="D30" s="278">
        <v>12.775423460000001</v>
      </c>
      <c r="E30" s="278">
        <v>11.598776710000001</v>
      </c>
      <c r="F30" s="278">
        <v>15.47886315</v>
      </c>
      <c r="G30" s="278">
        <v>27.500119869999999</v>
      </c>
      <c r="H30" s="278">
        <v>17.540087329999995</v>
      </c>
      <c r="I30" s="278">
        <v>17.805287760000002</v>
      </c>
      <c r="J30" s="278">
        <v>16.417368839999998</v>
      </c>
      <c r="K30" s="278">
        <v>23.372325</v>
      </c>
      <c r="L30" s="278">
        <v>23.372574670000002</v>
      </c>
      <c r="M30" s="278">
        <v>20.082413840000001</v>
      </c>
      <c r="N30" s="273">
        <v>25.26177539</v>
      </c>
      <c r="O30" s="273">
        <f t="shared" si="2"/>
        <v>217.70848233000001</v>
      </c>
      <c r="P30" s="2"/>
    </row>
    <row r="31" spans="2:16">
      <c r="B31" s="265" t="s">
        <v>261</v>
      </c>
      <c r="C31" s="277">
        <f>SUM(C32:C39)</f>
        <v>39.666071350000003</v>
      </c>
      <c r="D31" s="278">
        <f>SUM(D32:D39)</f>
        <v>40.974914120000001</v>
      </c>
      <c r="E31" s="278">
        <f t="shared" ref="E31:N31" si="7">SUM(E32:E39)</f>
        <v>44.25514123</v>
      </c>
      <c r="F31" s="278">
        <f t="shared" si="7"/>
        <v>41.045003279999996</v>
      </c>
      <c r="G31" s="278">
        <f t="shared" si="7"/>
        <v>45.484865160000005</v>
      </c>
      <c r="H31" s="278">
        <f t="shared" si="7"/>
        <v>37.185261440000005</v>
      </c>
      <c r="I31" s="278">
        <f t="shared" si="7"/>
        <v>51.178733879999996</v>
      </c>
      <c r="J31" s="278">
        <f t="shared" si="7"/>
        <v>47.466722430000011</v>
      </c>
      <c r="K31" s="278">
        <f t="shared" si="7"/>
        <v>54.641117230000006</v>
      </c>
      <c r="L31" s="278">
        <f t="shared" si="7"/>
        <v>52.043079690000006</v>
      </c>
      <c r="M31" s="278">
        <f t="shared" si="7"/>
        <v>49.267520540000007</v>
      </c>
      <c r="N31" s="273">
        <f t="shared" si="7"/>
        <v>37.934472229999997</v>
      </c>
      <c r="O31" s="273">
        <f t="shared" si="2"/>
        <v>541.14290258000005</v>
      </c>
      <c r="P31" s="2"/>
    </row>
    <row r="32" spans="2:16">
      <c r="B32" s="274" t="s">
        <v>251</v>
      </c>
      <c r="C32" s="277">
        <v>25.681742830000005</v>
      </c>
      <c r="D32" s="278">
        <v>28.372315539999999</v>
      </c>
      <c r="E32" s="278">
        <v>27.991888699999997</v>
      </c>
      <c r="F32" s="278">
        <v>27.417593159999996</v>
      </c>
      <c r="G32" s="278">
        <v>28.731043860000003</v>
      </c>
      <c r="H32" s="278">
        <v>28.220842740000002</v>
      </c>
      <c r="I32" s="278">
        <v>28.1568465</v>
      </c>
      <c r="J32" s="278">
        <v>28.230888230000001</v>
      </c>
      <c r="K32" s="278">
        <v>28.328971350000003</v>
      </c>
      <c r="L32" s="278">
        <v>28.020023180000003</v>
      </c>
      <c r="M32" s="278">
        <v>28.135401340000001</v>
      </c>
      <c r="N32" s="273">
        <v>27.395467759999999</v>
      </c>
      <c r="O32" s="273">
        <f t="shared" si="2"/>
        <v>334.68302518999997</v>
      </c>
      <c r="P32" s="2"/>
    </row>
    <row r="33" spans="2:16">
      <c r="B33" s="274" t="s">
        <v>252</v>
      </c>
      <c r="C33" s="277">
        <v>0</v>
      </c>
      <c r="D33" s="278">
        <v>0</v>
      </c>
      <c r="E33" s="278">
        <v>0</v>
      </c>
      <c r="F33" s="278">
        <v>0</v>
      </c>
      <c r="G33" s="278">
        <v>0</v>
      </c>
      <c r="H33" s="278">
        <v>0</v>
      </c>
      <c r="I33" s="278">
        <v>0</v>
      </c>
      <c r="J33" s="278">
        <v>0</v>
      </c>
      <c r="K33" s="278">
        <v>0</v>
      </c>
      <c r="L33" s="278">
        <v>0</v>
      </c>
      <c r="M33" s="278">
        <v>0</v>
      </c>
      <c r="N33" s="273">
        <v>0</v>
      </c>
      <c r="O33" s="273">
        <f t="shared" si="2"/>
        <v>0</v>
      </c>
      <c r="P33" s="2"/>
    </row>
    <row r="34" spans="2:16">
      <c r="B34" s="274" t="s">
        <v>253</v>
      </c>
      <c r="C34" s="277">
        <v>0</v>
      </c>
      <c r="D34" s="278">
        <v>0</v>
      </c>
      <c r="E34" s="278">
        <v>0</v>
      </c>
      <c r="F34" s="278">
        <v>0</v>
      </c>
      <c r="G34" s="278">
        <v>0</v>
      </c>
      <c r="H34" s="278">
        <v>0</v>
      </c>
      <c r="I34" s="278">
        <v>0</v>
      </c>
      <c r="J34" s="278">
        <v>0</v>
      </c>
      <c r="K34" s="278">
        <v>0</v>
      </c>
      <c r="L34" s="278">
        <v>0</v>
      </c>
      <c r="M34" s="278">
        <v>0</v>
      </c>
      <c r="N34" s="273">
        <v>0</v>
      </c>
      <c r="O34" s="273">
        <f t="shared" si="2"/>
        <v>0</v>
      </c>
      <c r="P34" s="2"/>
    </row>
    <row r="35" spans="2:16">
      <c r="B35" s="274" t="s">
        <v>262</v>
      </c>
      <c r="C35" s="277">
        <v>2.3847489899999998</v>
      </c>
      <c r="D35" s="278">
        <v>2.8093748100000004</v>
      </c>
      <c r="E35" s="278">
        <v>6.7644422300000002</v>
      </c>
      <c r="F35" s="278">
        <v>2.9289110899999997</v>
      </c>
      <c r="G35" s="278">
        <v>5.5223026800000001</v>
      </c>
      <c r="H35" s="278">
        <v>4.0696554000000003</v>
      </c>
      <c r="I35" s="278">
        <v>6.4959772499999993</v>
      </c>
      <c r="J35" s="278">
        <v>3.2597951299999997</v>
      </c>
      <c r="K35" s="278">
        <v>6.3485129899999997</v>
      </c>
      <c r="L35" s="278">
        <v>13.034954450000003</v>
      </c>
      <c r="M35" s="278">
        <v>12.807694410000002</v>
      </c>
      <c r="N35" s="273">
        <v>4.4049227499999999</v>
      </c>
      <c r="O35" s="273">
        <f t="shared" si="2"/>
        <v>70.831292179999991</v>
      </c>
      <c r="P35" s="2"/>
    </row>
    <row r="36" spans="2:16">
      <c r="B36" s="274" t="s">
        <v>263</v>
      </c>
      <c r="C36" s="277">
        <v>3.3590058899999997</v>
      </c>
      <c r="D36" s="278">
        <v>3.5560196800000003</v>
      </c>
      <c r="E36" s="278">
        <v>3.53928434</v>
      </c>
      <c r="F36" s="278">
        <v>4.3122655100000005</v>
      </c>
      <c r="G36" s="278">
        <v>4.4132984899999999</v>
      </c>
      <c r="H36" s="278">
        <v>3.4497366999999999</v>
      </c>
      <c r="I36" s="278">
        <v>9.966420020000001</v>
      </c>
      <c r="J36" s="278">
        <v>10.377989990000005</v>
      </c>
      <c r="K36" s="278">
        <v>13.82564747</v>
      </c>
      <c r="L36" s="278">
        <v>0.80980349000000007</v>
      </c>
      <c r="M36" s="278">
        <v>2.3029735100000002</v>
      </c>
      <c r="N36" s="273">
        <v>1.7789828400000001</v>
      </c>
      <c r="O36" s="273">
        <f t="shared" si="2"/>
        <v>61.691427930000003</v>
      </c>
      <c r="P36" s="2"/>
    </row>
    <row r="37" spans="2:16">
      <c r="B37" s="274" t="s">
        <v>264</v>
      </c>
      <c r="C37" s="277">
        <v>0</v>
      </c>
      <c r="D37" s="278">
        <v>0</v>
      </c>
      <c r="E37" s="278">
        <v>0</v>
      </c>
      <c r="F37" s="278">
        <v>0</v>
      </c>
      <c r="G37" s="278">
        <v>0</v>
      </c>
      <c r="H37" s="278">
        <v>0</v>
      </c>
      <c r="I37" s="278">
        <v>0</v>
      </c>
      <c r="J37" s="278">
        <v>0</v>
      </c>
      <c r="K37" s="278">
        <v>0</v>
      </c>
      <c r="L37" s="278">
        <v>0</v>
      </c>
      <c r="M37" s="278">
        <v>0</v>
      </c>
      <c r="N37" s="273">
        <v>0</v>
      </c>
      <c r="O37" s="273">
        <f t="shared" si="2"/>
        <v>0</v>
      </c>
      <c r="P37" s="2"/>
    </row>
    <row r="38" spans="2:16">
      <c r="B38" s="274" t="s">
        <v>265</v>
      </c>
      <c r="C38" s="277">
        <v>0</v>
      </c>
      <c r="D38" s="278">
        <v>0</v>
      </c>
      <c r="E38" s="278">
        <v>0</v>
      </c>
      <c r="F38" s="278">
        <v>0</v>
      </c>
      <c r="G38" s="278">
        <v>0</v>
      </c>
      <c r="H38" s="278">
        <v>0</v>
      </c>
      <c r="I38" s="278">
        <v>0</v>
      </c>
      <c r="J38" s="278">
        <v>0</v>
      </c>
      <c r="K38" s="278">
        <v>0</v>
      </c>
      <c r="L38" s="278">
        <v>0</v>
      </c>
      <c r="M38" s="278">
        <v>0</v>
      </c>
      <c r="N38" s="273">
        <v>0</v>
      </c>
      <c r="O38" s="273">
        <f t="shared" si="2"/>
        <v>0</v>
      </c>
      <c r="P38" s="2"/>
    </row>
    <row r="39" spans="2:16">
      <c r="B39" s="274" t="s">
        <v>266</v>
      </c>
      <c r="C39" s="277">
        <v>8.2405736399999991</v>
      </c>
      <c r="D39" s="278">
        <v>6.2372040899999996</v>
      </c>
      <c r="E39" s="278">
        <v>5.9595259599999997</v>
      </c>
      <c r="F39" s="278">
        <v>6.3862335200000002</v>
      </c>
      <c r="G39" s="278">
        <v>6.8182201299999994</v>
      </c>
      <c r="H39" s="278">
        <v>1.4450266</v>
      </c>
      <c r="I39" s="278">
        <v>6.5594901100000005</v>
      </c>
      <c r="J39" s="278">
        <v>5.59804908</v>
      </c>
      <c r="K39" s="278">
        <v>6.1379854199999997</v>
      </c>
      <c r="L39" s="278">
        <v>10.178298570000001</v>
      </c>
      <c r="M39" s="278">
        <v>6.02145128</v>
      </c>
      <c r="N39" s="273">
        <v>4.3550988799999999</v>
      </c>
      <c r="O39" s="273">
        <f t="shared" si="2"/>
        <v>73.937157279999994</v>
      </c>
      <c r="P39" s="2"/>
    </row>
    <row r="40" spans="2:16" ht="18" customHeight="1">
      <c r="B40" s="275" t="s">
        <v>267</v>
      </c>
      <c r="C40" s="282">
        <f>SUM(C41:C45)</f>
        <v>-0.20904760999999999</v>
      </c>
      <c r="D40" s="283">
        <f>SUM(D41:D45)</f>
        <v>-0.52</v>
      </c>
      <c r="E40" s="283">
        <f t="shared" ref="E40:N40" si="8">SUM(E41:E45)</f>
        <v>0</v>
      </c>
      <c r="F40" s="283">
        <f t="shared" si="8"/>
        <v>-1.25533625</v>
      </c>
      <c r="G40" s="283">
        <f t="shared" si="8"/>
        <v>0</v>
      </c>
      <c r="H40" s="283">
        <f t="shared" si="8"/>
        <v>-0.78080870000000002</v>
      </c>
      <c r="I40" s="283">
        <f t="shared" si="8"/>
        <v>-0.20904760999999999</v>
      </c>
      <c r="J40" s="283">
        <f t="shared" si="8"/>
        <v>0</v>
      </c>
      <c r="K40" s="283">
        <f t="shared" si="8"/>
        <v>0</v>
      </c>
      <c r="L40" s="283">
        <f t="shared" si="8"/>
        <v>0</v>
      </c>
      <c r="M40" s="283">
        <f t="shared" si="8"/>
        <v>0</v>
      </c>
      <c r="N40" s="276">
        <f t="shared" si="8"/>
        <v>-0.31543908999999998</v>
      </c>
      <c r="O40" s="276">
        <f t="shared" si="2"/>
        <v>-3.2896792599999998</v>
      </c>
      <c r="P40" s="2"/>
    </row>
    <row r="41" spans="2:16" hidden="1">
      <c r="B41" s="265" t="s">
        <v>251</v>
      </c>
      <c r="C41" s="277">
        <v>-0.20904760999999999</v>
      </c>
      <c r="D41" s="278">
        <v>-0.52</v>
      </c>
      <c r="E41" s="278">
        <v>0</v>
      </c>
      <c r="F41" s="278">
        <v>-1.2436911100000001</v>
      </c>
      <c r="G41" s="278">
        <v>0</v>
      </c>
      <c r="H41" s="278">
        <v>0</v>
      </c>
      <c r="I41" s="278">
        <v>-0.20904760999999999</v>
      </c>
      <c r="J41" s="278">
        <v>0</v>
      </c>
      <c r="K41" s="278">
        <v>0</v>
      </c>
      <c r="L41" s="278">
        <v>0</v>
      </c>
      <c r="M41" s="278">
        <v>0</v>
      </c>
      <c r="N41" s="273">
        <v>0</v>
      </c>
      <c r="O41" s="273">
        <f t="shared" si="2"/>
        <v>-2.18178633</v>
      </c>
      <c r="P41" s="2"/>
    </row>
    <row r="42" spans="2:16" hidden="1">
      <c r="B42" s="265" t="s">
        <v>252</v>
      </c>
      <c r="C42" s="277">
        <v>0</v>
      </c>
      <c r="D42" s="278">
        <v>0</v>
      </c>
      <c r="E42" s="278">
        <v>0</v>
      </c>
      <c r="F42" s="278">
        <v>0</v>
      </c>
      <c r="G42" s="278">
        <v>0</v>
      </c>
      <c r="H42" s="278">
        <v>-0.54795890000000003</v>
      </c>
      <c r="I42" s="278">
        <v>0</v>
      </c>
      <c r="J42" s="278">
        <v>0</v>
      </c>
      <c r="K42" s="278">
        <v>0</v>
      </c>
      <c r="L42" s="278">
        <v>0</v>
      </c>
      <c r="M42" s="278">
        <v>0</v>
      </c>
      <c r="N42" s="273">
        <v>-8.6792140000000004E-2</v>
      </c>
      <c r="O42" s="273">
        <f t="shared" si="2"/>
        <v>-0.63475104000000004</v>
      </c>
      <c r="P42" s="2"/>
    </row>
    <row r="43" spans="2:16" hidden="1">
      <c r="B43" s="265" t="s">
        <v>253</v>
      </c>
      <c r="C43" s="277"/>
      <c r="D43" s="278"/>
      <c r="E43" s="278"/>
      <c r="F43" s="278"/>
      <c r="G43" s="278"/>
      <c r="H43" s="278"/>
      <c r="I43" s="278"/>
      <c r="J43" s="278"/>
      <c r="K43" s="278"/>
      <c r="L43" s="278"/>
      <c r="M43" s="278"/>
      <c r="N43" s="273"/>
      <c r="O43" s="273">
        <f t="shared" si="2"/>
        <v>0</v>
      </c>
      <c r="P43" s="2"/>
    </row>
    <row r="44" spans="2:16" hidden="1">
      <c r="B44" s="265" t="s">
        <v>254</v>
      </c>
      <c r="C44" s="277"/>
      <c r="D44" s="278"/>
      <c r="E44" s="278"/>
      <c r="F44" s="278">
        <v>-1.164514E-2</v>
      </c>
      <c r="G44" s="278"/>
      <c r="H44" s="278">
        <v>-0.2328498</v>
      </c>
      <c r="I44" s="278"/>
      <c r="J44" s="278"/>
      <c r="K44" s="278"/>
      <c r="L44" s="278"/>
      <c r="M44" s="278"/>
      <c r="N44" s="273">
        <v>-0.22864694999999999</v>
      </c>
      <c r="O44" s="273">
        <f t="shared" si="2"/>
        <v>-0.47314188999999995</v>
      </c>
      <c r="P44" s="2"/>
    </row>
    <row r="45" spans="2:16" hidden="1">
      <c r="B45" s="265" t="s">
        <v>268</v>
      </c>
      <c r="C45" s="277"/>
      <c r="D45" s="278"/>
      <c r="E45" s="278"/>
      <c r="F45" s="278"/>
      <c r="G45" s="278"/>
      <c r="H45" s="278"/>
      <c r="I45" s="278"/>
      <c r="J45" s="278"/>
      <c r="K45" s="278"/>
      <c r="L45" s="278"/>
      <c r="M45" s="278"/>
      <c r="N45" s="273"/>
      <c r="O45" s="273">
        <f t="shared" si="2"/>
        <v>0</v>
      </c>
      <c r="P45" s="2"/>
    </row>
    <row r="46" spans="2:16" ht="24.95" hidden="1" customHeight="1">
      <c r="B46" s="25" t="s">
        <v>269</v>
      </c>
      <c r="C46" s="270">
        <f>C9-C16</f>
        <v>44.901180600000032</v>
      </c>
      <c r="D46" s="246">
        <f>D9-D16</f>
        <v>15.809329529999957</v>
      </c>
      <c r="E46" s="246">
        <f t="shared" ref="E46:N46" si="9">E9-E16</f>
        <v>41.773333430000037</v>
      </c>
      <c r="F46" s="246">
        <f t="shared" si="9"/>
        <v>343.19678654000001</v>
      </c>
      <c r="G46" s="246">
        <f t="shared" si="9"/>
        <v>-21.913414120000084</v>
      </c>
      <c r="H46" s="246">
        <f t="shared" si="9"/>
        <v>-33.089957739999932</v>
      </c>
      <c r="I46" s="246">
        <f t="shared" si="9"/>
        <v>-42.595968220000145</v>
      </c>
      <c r="J46" s="246">
        <f t="shared" si="9"/>
        <v>19.220767630000012</v>
      </c>
      <c r="K46" s="246">
        <f t="shared" si="9"/>
        <v>-50.324299009999891</v>
      </c>
      <c r="L46" s="246">
        <f t="shared" si="9"/>
        <v>30.554635890000043</v>
      </c>
      <c r="M46" s="246">
        <f t="shared" si="9"/>
        <v>23.947932000000151</v>
      </c>
      <c r="N46" s="271">
        <f t="shared" si="9"/>
        <v>-35.982092000000023</v>
      </c>
      <c r="O46" s="273">
        <f t="shared" si="2"/>
        <v>335.49823453000016</v>
      </c>
      <c r="P46" s="2"/>
    </row>
    <row r="47" spans="2:16" ht="24.95" hidden="1" customHeight="1">
      <c r="B47" s="25" t="s">
        <v>296</v>
      </c>
      <c r="C47" s="277"/>
      <c r="D47" s="278"/>
      <c r="E47" s="278"/>
      <c r="F47" s="278"/>
      <c r="G47" s="278"/>
      <c r="H47" s="278"/>
      <c r="I47" s="278"/>
      <c r="J47" s="278"/>
      <c r="K47" s="278"/>
      <c r="L47" s="278"/>
      <c r="M47" s="278"/>
      <c r="N47" s="273"/>
      <c r="O47" s="273"/>
      <c r="P47" s="2"/>
    </row>
    <row r="48" spans="2:16" ht="18" hidden="1" customHeight="1">
      <c r="B48" s="272" t="s">
        <v>272</v>
      </c>
      <c r="C48" s="270">
        <f>C8-C15</f>
        <v>-1.0083084499999586</v>
      </c>
      <c r="D48" s="246">
        <f>D8-D15</f>
        <v>-36.498251680000067</v>
      </c>
      <c r="E48" s="246">
        <f t="shared" ref="E48:N48" si="10">E8-E15</f>
        <v>-12.286465949999922</v>
      </c>
      <c r="F48" s="246">
        <f t="shared" si="10"/>
        <v>289.78811216000003</v>
      </c>
      <c r="G48" s="246">
        <f t="shared" si="10"/>
        <v>-94.177587520000088</v>
      </c>
      <c r="H48" s="246">
        <f t="shared" si="10"/>
        <v>-85.471998669999891</v>
      </c>
      <c r="I48" s="246">
        <f t="shared" si="10"/>
        <v>-110.78217740000008</v>
      </c>
      <c r="J48" s="246">
        <f t="shared" si="10"/>
        <v>-42.690680880000002</v>
      </c>
      <c r="K48" s="246">
        <f t="shared" si="10"/>
        <v>-127.95498123999988</v>
      </c>
      <c r="L48" s="246">
        <f t="shared" si="10"/>
        <v>-43.179644469999971</v>
      </c>
      <c r="M48" s="246">
        <f t="shared" si="10"/>
        <v>-44.720814009999856</v>
      </c>
      <c r="N48" s="271">
        <f t="shared" si="10"/>
        <v>-97.015764860000047</v>
      </c>
      <c r="O48" s="271">
        <f t="shared" si="2"/>
        <v>-405.99856296999974</v>
      </c>
      <c r="P48" s="2"/>
    </row>
    <row r="49" spans="2:16" ht="18" hidden="1" customHeight="1">
      <c r="B49" s="272" t="s">
        <v>273</v>
      </c>
      <c r="C49" s="270">
        <f>C48-C14</f>
        <v>-1.0593094499999587</v>
      </c>
      <c r="D49" s="246">
        <f>D48-D14</f>
        <v>-37.418830800000066</v>
      </c>
      <c r="E49" s="246">
        <f t="shared" ref="E49:N49" si="11">E48-E14</f>
        <v>-14.080584509999921</v>
      </c>
      <c r="F49" s="246">
        <f t="shared" si="11"/>
        <v>287.92825636000003</v>
      </c>
      <c r="G49" s="246">
        <f t="shared" si="11"/>
        <v>-94.885868590000086</v>
      </c>
      <c r="H49" s="246">
        <f t="shared" si="11"/>
        <v>-87.034497809999891</v>
      </c>
      <c r="I49" s="246">
        <f t="shared" si="11"/>
        <v>-111.37094225000008</v>
      </c>
      <c r="J49" s="246">
        <f t="shared" si="11"/>
        <v>-44.663323640000002</v>
      </c>
      <c r="K49" s="246">
        <f t="shared" si="11"/>
        <v>-128.32534123999989</v>
      </c>
      <c r="L49" s="246">
        <f t="shared" si="11"/>
        <v>-44.85146758999997</v>
      </c>
      <c r="M49" s="246">
        <f t="shared" si="11"/>
        <v>-45.402002379999857</v>
      </c>
      <c r="N49" s="271">
        <f t="shared" si="11"/>
        <v>-98.86273062000005</v>
      </c>
      <c r="O49" s="271">
        <f t="shared" si="2"/>
        <v>-420.02664251999971</v>
      </c>
      <c r="P49" s="2"/>
    </row>
    <row r="50" spans="2:16" ht="18" hidden="1" customHeight="1">
      <c r="B50" s="272" t="s">
        <v>274</v>
      </c>
      <c r="C50" s="270">
        <f>C48-C73</f>
        <v>-37.218166269999955</v>
      </c>
      <c r="D50" s="246">
        <f>D48-D73</f>
        <v>-73.372879500000067</v>
      </c>
      <c r="E50" s="246">
        <f t="shared" ref="E50:N50" si="12">E48-E73</f>
        <v>-48.480022249999919</v>
      </c>
      <c r="F50" s="246">
        <f t="shared" si="12"/>
        <v>253.07635231800003</v>
      </c>
      <c r="G50" s="246">
        <f t="shared" si="12"/>
        <v>-130.90460085000009</v>
      </c>
      <c r="H50" s="246">
        <f t="shared" si="12"/>
        <v>-122.5171864699999</v>
      </c>
      <c r="I50" s="246">
        <f t="shared" si="12"/>
        <v>-148.26468205000009</v>
      </c>
      <c r="J50" s="246">
        <f t="shared" si="12"/>
        <v>-79.723065160000004</v>
      </c>
      <c r="K50" s="246">
        <f t="shared" si="12"/>
        <v>-164.7669052199999</v>
      </c>
      <c r="L50" s="246">
        <f t="shared" si="12"/>
        <v>-81.393523019999975</v>
      </c>
      <c r="M50" s="246">
        <f t="shared" si="12"/>
        <v>-85.449535079999862</v>
      </c>
      <c r="N50" s="271">
        <f t="shared" si="12"/>
        <v>-153.97032633000003</v>
      </c>
      <c r="O50" s="271">
        <f t="shared" si="2"/>
        <v>-872.98453988199981</v>
      </c>
      <c r="P50" s="2"/>
    </row>
    <row r="51" spans="2:16" ht="24.95" hidden="1" customHeight="1">
      <c r="B51" s="25" t="s">
        <v>275</v>
      </c>
      <c r="C51" s="270">
        <f>SUM(C52:C53)</f>
        <v>-13.016388750000001</v>
      </c>
      <c r="D51" s="246">
        <f>SUM(D52:D53)</f>
        <v>-15.116291019999998</v>
      </c>
      <c r="E51" s="246">
        <f t="shared" ref="E51:N51" si="13">SUM(E52:E53)</f>
        <v>-5.1182153400000008</v>
      </c>
      <c r="F51" s="246">
        <f t="shared" si="13"/>
        <v>2.6920499600000012</v>
      </c>
      <c r="G51" s="246">
        <f t="shared" si="13"/>
        <v>-1.4470041400000007</v>
      </c>
      <c r="H51" s="246">
        <f t="shared" si="13"/>
        <v>-20.534201879999998</v>
      </c>
      <c r="I51" s="246">
        <f t="shared" si="13"/>
        <v>-8.2776048300000014</v>
      </c>
      <c r="J51" s="246">
        <f t="shared" si="13"/>
        <v>-14.16068362</v>
      </c>
      <c r="K51" s="246">
        <f t="shared" si="13"/>
        <v>753.17607314999998</v>
      </c>
      <c r="L51" s="246">
        <f t="shared" si="13"/>
        <v>-0.74194707000000015</v>
      </c>
      <c r="M51" s="246">
        <f t="shared" si="13"/>
        <v>-22.17450024</v>
      </c>
      <c r="N51" s="271">
        <f t="shared" si="13"/>
        <v>136.15575219999999</v>
      </c>
      <c r="O51" s="271">
        <f t="shared" si="2"/>
        <v>791.43703841999991</v>
      </c>
      <c r="P51" s="2"/>
    </row>
    <row r="52" spans="2:16" hidden="1">
      <c r="B52" s="35" t="s">
        <v>276</v>
      </c>
      <c r="C52" s="277">
        <v>4.1388469999999997E-2</v>
      </c>
      <c r="D52" s="278">
        <v>8.3251120299999997</v>
      </c>
      <c r="E52" s="278">
        <v>7.7515608399999998</v>
      </c>
      <c r="F52" s="278">
        <v>8.7242720200000008</v>
      </c>
      <c r="G52" s="278">
        <v>21.716569069999998</v>
      </c>
      <c r="H52" s="278">
        <v>12.26992722</v>
      </c>
      <c r="I52" s="278">
        <v>6.8637930999999996</v>
      </c>
      <c r="J52" s="278">
        <v>8.3677548799999997</v>
      </c>
      <c r="K52" s="278">
        <v>769.90929405999998</v>
      </c>
      <c r="L52" s="278">
        <v>8.8252929099999999</v>
      </c>
      <c r="M52" s="278">
        <v>4.2768998700000003</v>
      </c>
      <c r="N52" s="273">
        <v>172.78391395</v>
      </c>
      <c r="O52" s="273">
        <f t="shared" si="2"/>
        <v>1029.85577842</v>
      </c>
      <c r="P52" s="2"/>
    </row>
    <row r="53" spans="2:16" hidden="1">
      <c r="B53" s="35" t="s">
        <v>277</v>
      </c>
      <c r="C53" s="277">
        <v>-13.05777722</v>
      </c>
      <c r="D53" s="278">
        <v>-23.441403049999998</v>
      </c>
      <c r="E53" s="278">
        <v>-12.869776180000001</v>
      </c>
      <c r="F53" s="278">
        <v>-6.0322220599999996</v>
      </c>
      <c r="G53" s="278">
        <v>-23.163573209999999</v>
      </c>
      <c r="H53" s="278">
        <v>-32.804129099999997</v>
      </c>
      <c r="I53" s="278">
        <v>-15.14139793</v>
      </c>
      <c r="J53" s="278">
        <v>-22.5284385</v>
      </c>
      <c r="K53" s="278">
        <v>-16.73322091</v>
      </c>
      <c r="L53" s="278">
        <v>-9.5672399800000001</v>
      </c>
      <c r="M53" s="278">
        <v>-26.451400110000002</v>
      </c>
      <c r="N53" s="273">
        <v>-36.628161749999997</v>
      </c>
      <c r="O53" s="273">
        <f t="shared" si="2"/>
        <v>-238.41874000000001</v>
      </c>
      <c r="P53" s="2"/>
    </row>
    <row r="54" spans="2:16" ht="24.95" hidden="1" customHeight="1">
      <c r="B54" s="25" t="s">
        <v>278</v>
      </c>
      <c r="C54" s="270">
        <f>+C55+C58+C61+C64+C65</f>
        <v>14.024697199999963</v>
      </c>
      <c r="D54" s="246">
        <f t="shared" ref="D54:N54" si="14">+D55+D58+D61+D64+D65</f>
        <v>51.614542700000072</v>
      </c>
      <c r="E54" s="246">
        <f t="shared" si="14"/>
        <v>17.404681289999914</v>
      </c>
      <c r="F54" s="246">
        <f t="shared" si="14"/>
        <v>-292.48016211999999</v>
      </c>
      <c r="G54" s="246">
        <f t="shared" si="14"/>
        <v>95.624591660000092</v>
      </c>
      <c r="H54" s="246">
        <f t="shared" si="14"/>
        <v>106.0062005499999</v>
      </c>
      <c r="I54" s="246">
        <f t="shared" si="14"/>
        <v>119.05978223000008</v>
      </c>
      <c r="J54" s="246">
        <f t="shared" si="14"/>
        <v>56.851364500000003</v>
      </c>
      <c r="K54" s="246">
        <f t="shared" si="14"/>
        <v>-625.22109191000004</v>
      </c>
      <c r="L54" s="246">
        <f t="shared" si="14"/>
        <v>43.921591539999966</v>
      </c>
      <c r="M54" s="246">
        <f t="shared" si="14"/>
        <v>66.895314249999856</v>
      </c>
      <c r="N54" s="271">
        <f t="shared" si="14"/>
        <v>-39.139987339999941</v>
      </c>
      <c r="O54" s="271">
        <f>SUM(C54:N54)</f>
        <v>-385.43847545000017</v>
      </c>
      <c r="P54" s="2"/>
    </row>
    <row r="55" spans="2:16" hidden="1">
      <c r="B55" s="35" t="s">
        <v>279</v>
      </c>
      <c r="C55" s="277">
        <f>+C56+C57</f>
        <v>-17.780590570000001</v>
      </c>
      <c r="D55" s="278">
        <f>+D56+D57</f>
        <v>29.16985854</v>
      </c>
      <c r="E55" s="278">
        <f t="shared" ref="E55:N55" si="15">+E56+E57</f>
        <v>-28.153570240000001</v>
      </c>
      <c r="F55" s="278">
        <f t="shared" si="15"/>
        <v>25.150911669999999</v>
      </c>
      <c r="G55" s="278">
        <f t="shared" si="15"/>
        <v>-100.8919782</v>
      </c>
      <c r="H55" s="278">
        <f t="shared" si="15"/>
        <v>36.634167009999999</v>
      </c>
      <c r="I55" s="278">
        <f t="shared" si="15"/>
        <v>35.540577689999999</v>
      </c>
      <c r="J55" s="278">
        <f t="shared" si="15"/>
        <v>21.682602240000001</v>
      </c>
      <c r="K55" s="278">
        <f t="shared" si="15"/>
        <v>-6.0780000000000003</v>
      </c>
      <c r="L55" s="278">
        <f t="shared" si="15"/>
        <v>21.779655959999999</v>
      </c>
      <c r="M55" s="278">
        <f t="shared" si="15"/>
        <v>2.0826707899999999</v>
      </c>
      <c r="N55" s="273">
        <f t="shared" si="15"/>
        <v>7.0209144600000002</v>
      </c>
      <c r="O55" s="273">
        <f t="shared" si="2"/>
        <v>26.157219349999998</v>
      </c>
      <c r="P55" s="2"/>
    </row>
    <row r="56" spans="2:16" hidden="1">
      <c r="B56" s="265" t="s">
        <v>280</v>
      </c>
      <c r="C56" s="277"/>
      <c r="D56" s="278"/>
      <c r="E56" s="278"/>
      <c r="F56" s="278"/>
      <c r="G56" s="278">
        <v>-0.60614285000000001</v>
      </c>
      <c r="H56" s="278"/>
      <c r="I56" s="278"/>
      <c r="J56" s="278"/>
      <c r="K56" s="278"/>
      <c r="L56" s="278"/>
      <c r="M56" s="278"/>
      <c r="N56" s="273"/>
      <c r="O56" s="273">
        <f t="shared" si="2"/>
        <v>-0.60614285000000001</v>
      </c>
      <c r="P56" s="2"/>
    </row>
    <row r="57" spans="2:16" hidden="1">
      <c r="B57" s="265" t="s">
        <v>281</v>
      </c>
      <c r="C57" s="277">
        <v>-17.780590570000001</v>
      </c>
      <c r="D57" s="278">
        <v>29.16985854</v>
      </c>
      <c r="E57" s="278">
        <v>-28.153570240000001</v>
      </c>
      <c r="F57" s="278">
        <v>25.150911669999999</v>
      </c>
      <c r="G57" s="278">
        <v>-100.28583535</v>
      </c>
      <c r="H57" s="278">
        <v>36.634167009999999</v>
      </c>
      <c r="I57" s="278">
        <v>35.540577689999999</v>
      </c>
      <c r="J57" s="278">
        <v>21.682602240000001</v>
      </c>
      <c r="K57" s="278">
        <v>-6.0780000000000003</v>
      </c>
      <c r="L57" s="278">
        <v>21.779655959999999</v>
      </c>
      <c r="M57" s="278">
        <v>2.0826707899999999</v>
      </c>
      <c r="N57" s="273">
        <v>7.0209144600000002</v>
      </c>
      <c r="O57" s="273">
        <f t="shared" si="2"/>
        <v>26.763362199999996</v>
      </c>
      <c r="P57" s="2"/>
    </row>
    <row r="58" spans="2:16" hidden="1">
      <c r="B58" s="35" t="s">
        <v>282</v>
      </c>
      <c r="C58" s="277">
        <f>+C59+C60</f>
        <v>13.308762999999997</v>
      </c>
      <c r="D58" s="278">
        <f>+D59+D60</f>
        <v>19.105153700000002</v>
      </c>
      <c r="E58" s="278">
        <f t="shared" ref="E58:N58" si="16">+E59+E60</f>
        <v>31.335996969999997</v>
      </c>
      <c r="F58" s="278">
        <f t="shared" si="16"/>
        <v>-266.68752619999998</v>
      </c>
      <c r="G58" s="278">
        <f t="shared" si="16"/>
        <v>161.11447294999999</v>
      </c>
      <c r="H58" s="278">
        <f t="shared" si="16"/>
        <v>79.943542199999996</v>
      </c>
      <c r="I58" s="278">
        <f t="shared" si="16"/>
        <v>90.305960989999988</v>
      </c>
      <c r="J58" s="278">
        <f t="shared" si="16"/>
        <v>14.068179330000003</v>
      </c>
      <c r="K58" s="278">
        <f t="shared" si="16"/>
        <v>-558.32585072000006</v>
      </c>
      <c r="L58" s="278">
        <f t="shared" si="16"/>
        <v>62.134105929999997</v>
      </c>
      <c r="M58" s="278">
        <f t="shared" si="16"/>
        <v>17.729409</v>
      </c>
      <c r="N58" s="273">
        <f t="shared" si="16"/>
        <v>61.907360830000002</v>
      </c>
      <c r="O58" s="273">
        <f t="shared" si="2"/>
        <v>-274.06043202000012</v>
      </c>
      <c r="P58" s="2"/>
    </row>
    <row r="59" spans="2:16" hidden="1">
      <c r="B59" s="265" t="s">
        <v>280</v>
      </c>
      <c r="C59" s="277">
        <v>12.623762999999997</v>
      </c>
      <c r="D59" s="278">
        <v>6.2201537000000044</v>
      </c>
      <c r="E59" s="278">
        <v>18.493996969999998</v>
      </c>
      <c r="F59" s="278">
        <v>-22.273526199999999</v>
      </c>
      <c r="G59" s="278">
        <v>-43.325527050000005</v>
      </c>
      <c r="H59" s="278">
        <v>54.379542200000003</v>
      </c>
      <c r="I59" s="278">
        <v>82.241960989999995</v>
      </c>
      <c r="J59" s="278">
        <v>31.614179330000002</v>
      </c>
      <c r="K59" s="278">
        <v>-550.1368507200001</v>
      </c>
      <c r="L59" s="278">
        <v>43.701105929999997</v>
      </c>
      <c r="M59" s="278">
        <v>26.252409</v>
      </c>
      <c r="N59" s="273">
        <v>54.137360829999999</v>
      </c>
      <c r="O59" s="273">
        <f t="shared" si="2"/>
        <v>-286.07143202000015</v>
      </c>
      <c r="P59" s="2"/>
    </row>
    <row r="60" spans="2:16" hidden="1">
      <c r="B60" s="265" t="s">
        <v>281</v>
      </c>
      <c r="C60" s="277">
        <v>0.68500000000000005</v>
      </c>
      <c r="D60" s="278">
        <v>12.885</v>
      </c>
      <c r="E60" s="278">
        <v>12.842000000000001</v>
      </c>
      <c r="F60" s="278">
        <v>-244.41399999999999</v>
      </c>
      <c r="G60" s="278">
        <v>204.44</v>
      </c>
      <c r="H60" s="278">
        <v>25.564</v>
      </c>
      <c r="I60" s="278">
        <v>8.0640000000000001</v>
      </c>
      <c r="J60" s="278">
        <v>-17.545999999999999</v>
      </c>
      <c r="K60" s="278">
        <v>-8.1890000000000001</v>
      </c>
      <c r="L60" s="278">
        <v>18.433</v>
      </c>
      <c r="M60" s="278">
        <v>-8.5229999999999997</v>
      </c>
      <c r="N60" s="273">
        <v>7.77</v>
      </c>
      <c r="O60" s="273">
        <f t="shared" si="2"/>
        <v>12.011000000000017</v>
      </c>
      <c r="P60" s="2"/>
    </row>
    <row r="61" spans="2:16" hidden="1">
      <c r="B61" s="35" t="s">
        <v>283</v>
      </c>
      <c r="C61" s="277">
        <f>+C62+C63</f>
        <v>0</v>
      </c>
      <c r="D61" s="278">
        <f>+D62+D63</f>
        <v>0</v>
      </c>
      <c r="E61" s="278">
        <f t="shared" ref="E61:N61" si="17">+E62+E63</f>
        <v>0</v>
      </c>
      <c r="F61" s="278">
        <f t="shared" si="17"/>
        <v>0</v>
      </c>
      <c r="G61" s="278">
        <f t="shared" si="17"/>
        <v>0</v>
      </c>
      <c r="H61" s="278">
        <f t="shared" si="17"/>
        <v>0</v>
      </c>
      <c r="I61" s="278">
        <f t="shared" si="17"/>
        <v>0</v>
      </c>
      <c r="J61" s="278">
        <f t="shared" si="17"/>
        <v>0</v>
      </c>
      <c r="K61" s="278">
        <f t="shared" si="17"/>
        <v>0</v>
      </c>
      <c r="L61" s="278">
        <f t="shared" si="17"/>
        <v>0</v>
      </c>
      <c r="M61" s="278">
        <f t="shared" si="17"/>
        <v>0</v>
      </c>
      <c r="N61" s="273">
        <f t="shared" si="17"/>
        <v>0</v>
      </c>
      <c r="O61" s="273">
        <f t="shared" si="2"/>
        <v>0</v>
      </c>
      <c r="P61" s="2"/>
    </row>
    <row r="62" spans="2:16" hidden="1">
      <c r="B62" s="265" t="s">
        <v>280</v>
      </c>
      <c r="C62" s="277"/>
      <c r="D62" s="278"/>
      <c r="E62" s="278"/>
      <c r="F62" s="278"/>
      <c r="G62" s="278"/>
      <c r="H62" s="278"/>
      <c r="I62" s="278"/>
      <c r="J62" s="278"/>
      <c r="K62" s="278"/>
      <c r="L62" s="278"/>
      <c r="M62" s="278"/>
      <c r="N62" s="273"/>
      <c r="O62" s="273">
        <f t="shared" si="2"/>
        <v>0</v>
      </c>
      <c r="P62" s="2"/>
    </row>
    <row r="63" spans="2:16" hidden="1">
      <c r="B63" s="265" t="s">
        <v>281</v>
      </c>
      <c r="C63" s="277"/>
      <c r="D63" s="278"/>
      <c r="E63" s="278"/>
      <c r="F63" s="278"/>
      <c r="G63" s="278"/>
      <c r="H63" s="278"/>
      <c r="I63" s="278"/>
      <c r="J63" s="278"/>
      <c r="K63" s="278"/>
      <c r="L63" s="278"/>
      <c r="M63" s="278"/>
      <c r="N63" s="273"/>
      <c r="O63" s="273">
        <f t="shared" si="2"/>
        <v>0</v>
      </c>
      <c r="P63" s="2"/>
    </row>
    <row r="64" spans="2:16" hidden="1">
      <c r="B64" s="35" t="s">
        <v>284</v>
      </c>
      <c r="C64" s="277">
        <v>83.293694549999998</v>
      </c>
      <c r="D64" s="278">
        <v>46.59089857</v>
      </c>
      <c r="E64" s="278">
        <v>79.863819230000004</v>
      </c>
      <c r="F64" s="278">
        <v>11.665643051999989</v>
      </c>
      <c r="G64" s="278">
        <v>11.078029460000005</v>
      </c>
      <c r="H64" s="278">
        <v>36.865182139999995</v>
      </c>
      <c r="I64" s="278">
        <v>38.6836384</v>
      </c>
      <c r="J64" s="278">
        <v>36.507838879999994</v>
      </c>
      <c r="K64" s="278">
        <v>-41.284728269999988</v>
      </c>
      <c r="L64" s="278">
        <v>22.574270049999999</v>
      </c>
      <c r="M64" s="278">
        <v>71.919304009999991</v>
      </c>
      <c r="N64" s="273">
        <v>-51.221966329999994</v>
      </c>
      <c r="O64" s="273">
        <f t="shared" si="2"/>
        <v>346.5356237420001</v>
      </c>
      <c r="P64" s="2"/>
    </row>
    <row r="65" spans="2:16" hidden="1">
      <c r="B65" s="35" t="s">
        <v>285</v>
      </c>
      <c r="C65" s="277">
        <f>SUM(C66:C70)</f>
        <v>-64.797169780000033</v>
      </c>
      <c r="D65" s="278">
        <f>SUM(D66:D70)</f>
        <v>-43.25136810999993</v>
      </c>
      <c r="E65" s="278">
        <f t="shared" ref="E65:N65" si="18">SUM(E66:E70)</f>
        <v>-65.641564670000079</v>
      </c>
      <c r="F65" s="278">
        <f t="shared" si="18"/>
        <v>-62.609190641999994</v>
      </c>
      <c r="G65" s="278">
        <f t="shared" si="18"/>
        <v>24.324067450000086</v>
      </c>
      <c r="H65" s="278">
        <f t="shared" si="18"/>
        <v>-47.436690800000086</v>
      </c>
      <c r="I65" s="278">
        <f t="shared" si="18"/>
        <v>-45.470394849999906</v>
      </c>
      <c r="J65" s="278">
        <f t="shared" si="18"/>
        <v>-15.407255949999993</v>
      </c>
      <c r="K65" s="278">
        <f t="shared" si="18"/>
        <v>-19.532512920000073</v>
      </c>
      <c r="L65" s="278">
        <f t="shared" si="18"/>
        <v>-62.566440400000019</v>
      </c>
      <c r="M65" s="278">
        <f t="shared" si="18"/>
        <v>-24.836069550000133</v>
      </c>
      <c r="N65" s="273">
        <f t="shared" si="18"/>
        <v>-56.846296299999949</v>
      </c>
      <c r="O65" s="273">
        <f t="shared" si="2"/>
        <v>-484.07088652200014</v>
      </c>
      <c r="P65" s="2"/>
    </row>
    <row r="66" spans="2:16" hidden="1">
      <c r="B66" s="265" t="s">
        <v>286</v>
      </c>
      <c r="C66" s="277"/>
      <c r="D66" s="278"/>
      <c r="E66" s="278"/>
      <c r="F66" s="278"/>
      <c r="G66" s="278"/>
      <c r="H66" s="278"/>
      <c r="I66" s="278"/>
      <c r="J66" s="278"/>
      <c r="K66" s="278"/>
      <c r="L66" s="278"/>
      <c r="M66" s="278"/>
      <c r="N66" s="273"/>
      <c r="O66" s="273">
        <f t="shared" si="2"/>
        <v>0</v>
      </c>
      <c r="P66" s="2"/>
    </row>
    <row r="67" spans="2:16" hidden="1">
      <c r="B67" s="265" t="s">
        <v>287</v>
      </c>
      <c r="C67" s="277"/>
      <c r="D67" s="278"/>
      <c r="E67" s="278"/>
      <c r="F67" s="278"/>
      <c r="G67" s="278"/>
      <c r="H67" s="278"/>
      <c r="I67" s="278"/>
      <c r="J67" s="278"/>
      <c r="K67" s="278"/>
      <c r="L67" s="278"/>
      <c r="M67" s="278"/>
      <c r="N67" s="273"/>
      <c r="O67" s="273">
        <f t="shared" si="2"/>
        <v>0</v>
      </c>
      <c r="P67" s="2"/>
    </row>
    <row r="68" spans="2:16" hidden="1">
      <c r="B68" s="265" t="s">
        <v>288</v>
      </c>
      <c r="C68" s="277"/>
      <c r="D68" s="278"/>
      <c r="E68" s="278"/>
      <c r="F68" s="278"/>
      <c r="G68" s="278"/>
      <c r="H68" s="278"/>
      <c r="I68" s="278"/>
      <c r="J68" s="278"/>
      <c r="K68" s="278"/>
      <c r="L68" s="278"/>
      <c r="M68" s="278"/>
      <c r="N68" s="273"/>
      <c r="O68" s="273">
        <f t="shared" si="2"/>
        <v>0</v>
      </c>
      <c r="P68" s="2"/>
    </row>
    <row r="69" spans="2:16" hidden="1">
      <c r="B69" s="265" t="s">
        <v>289</v>
      </c>
      <c r="C69" s="277">
        <v>-36.209857819999996</v>
      </c>
      <c r="D69" s="278">
        <v>-36.874627820000001</v>
      </c>
      <c r="E69" s="278">
        <v>-36.193556299999997</v>
      </c>
      <c r="F69" s="278">
        <v>-36.711759841999999</v>
      </c>
      <c r="G69" s="278">
        <v>-36.727013330000005</v>
      </c>
      <c r="H69" s="278">
        <v>-37.045187800000001</v>
      </c>
      <c r="I69" s="278">
        <v>-37.482504649999996</v>
      </c>
      <c r="J69" s="278">
        <v>-37.032384280000002</v>
      </c>
      <c r="K69" s="278">
        <v>-36.811923980000003</v>
      </c>
      <c r="L69" s="278">
        <v>-38.213878550000004</v>
      </c>
      <c r="M69" s="278">
        <v>-40.728721069999999</v>
      </c>
      <c r="N69" s="273">
        <v>-56.954561470000002</v>
      </c>
      <c r="O69" s="273">
        <f t="shared" si="2"/>
        <v>-466.98597691200007</v>
      </c>
      <c r="P69" s="2"/>
    </row>
    <row r="70" spans="2:16" hidden="1">
      <c r="B70" s="265" t="s">
        <v>285</v>
      </c>
      <c r="C70" s="277">
        <v>-28.587311960000036</v>
      </c>
      <c r="D70" s="278">
        <v>-6.3767402899999297</v>
      </c>
      <c r="E70" s="278">
        <v>-29.448008370000082</v>
      </c>
      <c r="F70" s="278">
        <v>-25.897430799999995</v>
      </c>
      <c r="G70" s="278">
        <v>61.051080780000092</v>
      </c>
      <c r="H70" s="278">
        <v>-10.391503000000085</v>
      </c>
      <c r="I70" s="278">
        <v>-7.9878901999999101</v>
      </c>
      <c r="J70" s="278">
        <v>21.62512833000001</v>
      </c>
      <c r="K70" s="278">
        <v>17.27941105999993</v>
      </c>
      <c r="L70" s="278">
        <v>-24.352561850000015</v>
      </c>
      <c r="M70" s="278">
        <v>15.892651519999866</v>
      </c>
      <c r="N70" s="273">
        <v>0.10826517000005254</v>
      </c>
      <c r="O70" s="273">
        <f t="shared" si="2"/>
        <v>-17.084909610000103</v>
      </c>
      <c r="P70" s="2"/>
    </row>
    <row r="71" spans="2:16" ht="24.95" hidden="1" customHeight="1">
      <c r="B71" s="25" t="s">
        <v>290</v>
      </c>
      <c r="C71" s="270">
        <f>-C48-C51-C54</f>
        <v>0</v>
      </c>
      <c r="D71" s="246">
        <f>-D48-D51-D54</f>
        <v>0</v>
      </c>
      <c r="E71" s="246">
        <f t="shared" ref="E71:N71" si="19">-E48-E51-E54</f>
        <v>0</v>
      </c>
      <c r="F71" s="246">
        <f t="shared" si="19"/>
        <v>0</v>
      </c>
      <c r="G71" s="246">
        <f t="shared" si="19"/>
        <v>0</v>
      </c>
      <c r="H71" s="246">
        <f t="shared" si="19"/>
        <v>0</v>
      </c>
      <c r="I71" s="246">
        <f t="shared" si="19"/>
        <v>0</v>
      </c>
      <c r="J71" s="246">
        <f t="shared" si="19"/>
        <v>0</v>
      </c>
      <c r="K71" s="246">
        <f t="shared" si="19"/>
        <v>0</v>
      </c>
      <c r="L71" s="246">
        <f t="shared" si="19"/>
        <v>0</v>
      </c>
      <c r="M71" s="246">
        <f t="shared" si="19"/>
        <v>0</v>
      </c>
      <c r="N71" s="271">
        <f t="shared" si="19"/>
        <v>0</v>
      </c>
      <c r="O71" s="271">
        <f t="shared" si="2"/>
        <v>0</v>
      </c>
      <c r="P71" s="2"/>
    </row>
    <row r="72" spans="2:16" hidden="1">
      <c r="B72" s="42"/>
      <c r="C72" s="277"/>
      <c r="D72" s="278"/>
      <c r="E72" s="278"/>
      <c r="F72" s="278"/>
      <c r="G72" s="278"/>
      <c r="H72" s="278"/>
      <c r="I72" s="278"/>
      <c r="J72" s="278"/>
      <c r="K72" s="278"/>
      <c r="L72" s="278"/>
      <c r="M72" s="278"/>
      <c r="N72" s="273"/>
      <c r="O72" s="273"/>
      <c r="P72" s="2"/>
    </row>
    <row r="73" spans="2:16" ht="24.95" hidden="1" customHeight="1">
      <c r="B73" s="25" t="s">
        <v>291</v>
      </c>
      <c r="C73" s="270">
        <v>36.209857819999996</v>
      </c>
      <c r="D73" s="246">
        <v>36.874627820000001</v>
      </c>
      <c r="E73" s="246">
        <v>36.193556299999997</v>
      </c>
      <c r="F73" s="246">
        <v>36.711759841999999</v>
      </c>
      <c r="G73" s="246">
        <v>36.727013330000005</v>
      </c>
      <c r="H73" s="246">
        <v>37.045187800000001</v>
      </c>
      <c r="I73" s="246">
        <v>37.482504649999996</v>
      </c>
      <c r="J73" s="246">
        <v>37.032384280000002</v>
      </c>
      <c r="K73" s="246">
        <v>36.811923980000003</v>
      </c>
      <c r="L73" s="246">
        <v>38.213878550000004</v>
      </c>
      <c r="M73" s="246">
        <v>40.728721069999999</v>
      </c>
      <c r="N73" s="271">
        <v>56.954561470000002</v>
      </c>
      <c r="O73" s="271">
        <f>SUM(C73:N73)</f>
        <v>466.98597691200007</v>
      </c>
      <c r="P73" s="2"/>
    </row>
    <row r="74" spans="2:16" ht="24.95" hidden="1" customHeight="1">
      <c r="B74" s="25" t="s">
        <v>292</v>
      </c>
      <c r="C74" s="277"/>
      <c r="D74" s="278"/>
      <c r="E74" s="278"/>
      <c r="F74" s="278"/>
      <c r="G74" s="278"/>
      <c r="H74" s="278"/>
      <c r="I74" s="278"/>
      <c r="J74" s="278"/>
      <c r="K74" s="278"/>
      <c r="L74" s="278"/>
      <c r="M74" s="278"/>
      <c r="N74" s="273"/>
      <c r="O74" s="273">
        <f>SUM(C74:N74)</f>
        <v>0</v>
      </c>
      <c r="P74" s="2"/>
    </row>
    <row r="75" spans="2:16" ht="24.95" hidden="1" customHeight="1">
      <c r="B75" s="38" t="s">
        <v>56</v>
      </c>
      <c r="C75" s="279"/>
      <c r="D75" s="280"/>
      <c r="E75" s="280"/>
      <c r="F75" s="280"/>
      <c r="G75" s="280"/>
      <c r="H75" s="280"/>
      <c r="I75" s="280"/>
      <c r="J75" s="280"/>
      <c r="K75" s="280"/>
      <c r="L75" s="280"/>
      <c r="M75" s="280"/>
      <c r="N75" s="281"/>
      <c r="O75" s="284">
        <v>22593.47</v>
      </c>
      <c r="P75" s="2"/>
    </row>
    <row r="76" spans="2:16" ht="6" customHeight="1">
      <c r="B76" s="2"/>
      <c r="C76" s="2"/>
      <c r="D76" s="2"/>
      <c r="E76" s="2"/>
      <c r="F76" s="2"/>
      <c r="G76" s="2"/>
      <c r="H76" s="2"/>
      <c r="I76" s="2"/>
      <c r="J76" s="2"/>
      <c r="K76" s="2"/>
      <c r="L76" s="2"/>
      <c r="M76" s="2"/>
      <c r="N76" s="2"/>
      <c r="O76" s="2"/>
      <c r="P76" s="2"/>
    </row>
    <row r="77" spans="2:16">
      <c r="B77" s="2" t="s">
        <v>293</v>
      </c>
      <c r="C77" s="2"/>
      <c r="D77" s="2"/>
      <c r="E77" s="2"/>
      <c r="F77" s="2"/>
      <c r="G77" s="2"/>
      <c r="H77" s="2"/>
      <c r="I77" s="2"/>
      <c r="J77" s="2"/>
      <c r="K77" s="2"/>
      <c r="L77" s="2"/>
      <c r="M77" s="2"/>
      <c r="N77" s="2"/>
      <c r="O77" s="2"/>
      <c r="P77" s="2"/>
    </row>
    <row r="78" spans="2:16">
      <c r="B78" s="2"/>
      <c r="C78" s="2"/>
      <c r="D78" s="2"/>
      <c r="E78" s="2"/>
      <c r="F78" s="2"/>
      <c r="G78" s="2"/>
      <c r="H78" s="2"/>
      <c r="I78" s="2"/>
      <c r="J78" s="2"/>
      <c r="K78" s="2"/>
      <c r="L78" s="2"/>
      <c r="M78" s="2"/>
      <c r="N78" s="2"/>
      <c r="O78" s="2"/>
      <c r="P78" s="2"/>
    </row>
  </sheetData>
  <printOptions horizontalCentered="1"/>
  <pageMargins left="0.7" right="0.7" top="0.75" bottom="0.75" header="0.3" footer="0.3"/>
  <pageSetup scale="71" orientation="landscape" r:id="rId1"/>
  <ignoredErrors>
    <ignoredError sqref="C9:N9"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P78"/>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 min="18" max="18" width="13.7109375" bestFit="1" customWidth="1"/>
  </cols>
  <sheetData>
    <row r="2" spans="2:16">
      <c r="B2" s="234" t="s">
        <v>18</v>
      </c>
      <c r="C2" s="2"/>
      <c r="D2" s="2"/>
      <c r="E2" s="2"/>
      <c r="F2" s="2"/>
      <c r="G2" s="2"/>
      <c r="H2" s="2"/>
      <c r="I2" s="2"/>
      <c r="J2" s="2"/>
      <c r="K2" s="2"/>
      <c r="L2" s="2"/>
      <c r="M2" s="2"/>
      <c r="N2" s="2"/>
      <c r="O2" s="2"/>
      <c r="P2" s="2"/>
    </row>
    <row r="3" spans="2:16">
      <c r="B3" s="234" t="s">
        <v>307</v>
      </c>
      <c r="C3" s="2"/>
      <c r="D3" s="2"/>
      <c r="E3" s="2"/>
      <c r="F3" s="2"/>
      <c r="G3" s="2"/>
      <c r="H3" s="2"/>
      <c r="I3" s="2"/>
      <c r="J3" s="2"/>
      <c r="K3" s="2"/>
      <c r="L3" s="2"/>
      <c r="M3" s="2"/>
      <c r="N3" s="2"/>
      <c r="O3" s="2"/>
      <c r="P3" s="2"/>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308</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386.70376897</v>
      </c>
      <c r="D8" s="246">
        <f>+D9+D13+D14</f>
        <v>309.97299363999997</v>
      </c>
      <c r="E8" s="246">
        <f t="shared" ref="E8:N8" si="0">+E9+E13+E14</f>
        <v>358.32024855999998</v>
      </c>
      <c r="F8" s="246">
        <f t="shared" si="0"/>
        <v>625.44139818999997</v>
      </c>
      <c r="G8" s="246">
        <f t="shared" si="0"/>
        <v>321.85326661000005</v>
      </c>
      <c r="H8" s="246">
        <f t="shared" si="0"/>
        <v>331.36694677999998</v>
      </c>
      <c r="I8" s="246">
        <f t="shared" si="0"/>
        <v>348.36449299999998</v>
      </c>
      <c r="J8" s="246">
        <f t="shared" si="0"/>
        <v>313.15924514</v>
      </c>
      <c r="K8" s="246">
        <f t="shared" si="0"/>
        <v>314.01687394999999</v>
      </c>
      <c r="L8" s="246">
        <f t="shared" si="0"/>
        <v>336.95688590999998</v>
      </c>
      <c r="M8" s="246">
        <f t="shared" si="0"/>
        <v>331.04547525999988</v>
      </c>
      <c r="N8" s="271">
        <f t="shared" si="0"/>
        <v>325.27210715000001</v>
      </c>
      <c r="O8" s="271">
        <f>SUM(C8:N8)</f>
        <v>4302.4737031599998</v>
      </c>
      <c r="P8" s="2"/>
    </row>
    <row r="9" spans="2:16" ht="18" customHeight="1">
      <c r="B9" s="272" t="s">
        <v>240</v>
      </c>
      <c r="C9" s="244">
        <f>SUM(C10:C12)</f>
        <v>386.17120026999999</v>
      </c>
      <c r="D9" s="245">
        <f>SUM(D10:D12)</f>
        <v>307.11634917999999</v>
      </c>
      <c r="E9" s="245">
        <f t="shared" ref="E9:N9" si="1">SUM(E10:E12)</f>
        <v>354.64018960999999</v>
      </c>
      <c r="F9" s="245">
        <f t="shared" si="1"/>
        <v>623.78977465999992</v>
      </c>
      <c r="G9" s="245">
        <f t="shared" si="1"/>
        <v>320.16374474000003</v>
      </c>
      <c r="H9" s="245">
        <f t="shared" si="1"/>
        <v>329.40921778999996</v>
      </c>
      <c r="I9" s="245">
        <f t="shared" si="1"/>
        <v>346.09645293</v>
      </c>
      <c r="J9" s="245">
        <f t="shared" si="1"/>
        <v>312.09136927999998</v>
      </c>
      <c r="K9" s="245">
        <f t="shared" si="1"/>
        <v>311.64614746000001</v>
      </c>
      <c r="L9" s="245">
        <f t="shared" si="1"/>
        <v>334.83844542999998</v>
      </c>
      <c r="M9" s="245">
        <f t="shared" si="1"/>
        <v>329.00284593999987</v>
      </c>
      <c r="N9" s="247">
        <f t="shared" si="1"/>
        <v>321.6974917</v>
      </c>
      <c r="O9" s="271">
        <f>SUM(C9:N9)</f>
        <v>4276.6632289899999</v>
      </c>
      <c r="P9" s="2"/>
    </row>
    <row r="10" spans="2:16">
      <c r="B10" s="265" t="s">
        <v>241</v>
      </c>
      <c r="C10" s="252">
        <v>372.36212892999998</v>
      </c>
      <c r="D10" s="250">
        <v>295.01569513999999</v>
      </c>
      <c r="E10" s="250">
        <v>336.37517924999997</v>
      </c>
      <c r="F10" s="250">
        <v>612.01541556999996</v>
      </c>
      <c r="G10" s="250">
        <v>307.48970990000004</v>
      </c>
      <c r="H10" s="250">
        <v>317.35491260999993</v>
      </c>
      <c r="I10" s="250">
        <v>332.96493251999999</v>
      </c>
      <c r="J10" s="250">
        <v>300.48181273</v>
      </c>
      <c r="K10" s="250">
        <v>300.08749508</v>
      </c>
      <c r="L10" s="250">
        <v>320.70564436999996</v>
      </c>
      <c r="M10" s="250">
        <v>314.02766611999988</v>
      </c>
      <c r="N10" s="251">
        <v>309.17279704999999</v>
      </c>
      <c r="O10" s="273">
        <f>SUM(C10:N10)</f>
        <v>4118.0533892699996</v>
      </c>
      <c r="P10" s="2"/>
    </row>
    <row r="11" spans="2:16">
      <c r="B11" s="265" t="s">
        <v>242</v>
      </c>
      <c r="C11" s="252">
        <v>13.809071340000001</v>
      </c>
      <c r="D11" s="250">
        <v>12.10065404</v>
      </c>
      <c r="E11" s="250">
        <v>18.265010360000002</v>
      </c>
      <c r="F11" s="250">
        <v>11.774359090000001</v>
      </c>
      <c r="G11" s="250">
        <v>12.674034840000001</v>
      </c>
      <c r="H11" s="250">
        <v>12.05430518</v>
      </c>
      <c r="I11" s="250">
        <v>12.57294388</v>
      </c>
      <c r="J11" s="250">
        <v>11.609556549999999</v>
      </c>
      <c r="K11" s="250">
        <v>11.558652379999998</v>
      </c>
      <c r="L11" s="250">
        <v>14.132801059999998</v>
      </c>
      <c r="M11" s="250">
        <v>14.975179819999999</v>
      </c>
      <c r="N11" s="251">
        <v>12.524694650000001</v>
      </c>
      <c r="O11" s="273">
        <f t="shared" ref="O11:O71" si="2">SUM(C11:N11)</f>
        <v>158.05126318999999</v>
      </c>
      <c r="P11" s="2"/>
    </row>
    <row r="12" spans="2:16">
      <c r="B12" s="265" t="s">
        <v>243</v>
      </c>
      <c r="C12" s="252">
        <v>0</v>
      </c>
      <c r="D12" s="250">
        <v>0</v>
      </c>
      <c r="E12" s="250">
        <v>0</v>
      </c>
      <c r="F12" s="250">
        <v>0</v>
      </c>
      <c r="G12" s="250">
        <v>0</v>
      </c>
      <c r="H12" s="250">
        <v>0</v>
      </c>
      <c r="I12" s="250">
        <v>0.55857653000000007</v>
      </c>
      <c r="J12" s="250">
        <v>0</v>
      </c>
      <c r="K12" s="250">
        <v>0</v>
      </c>
      <c r="L12" s="250">
        <v>0</v>
      </c>
      <c r="M12" s="250">
        <v>0</v>
      </c>
      <c r="N12" s="251">
        <v>0</v>
      </c>
      <c r="O12" s="273">
        <f t="shared" si="2"/>
        <v>0.55857653000000007</v>
      </c>
      <c r="P12" s="2"/>
    </row>
    <row r="13" spans="2:16" ht="18" customHeight="1">
      <c r="B13" s="272" t="s">
        <v>244</v>
      </c>
      <c r="C13" s="244">
        <v>0</v>
      </c>
      <c r="D13" s="245">
        <v>0</v>
      </c>
      <c r="E13" s="245">
        <v>0</v>
      </c>
      <c r="F13" s="245">
        <v>0</v>
      </c>
      <c r="G13" s="245">
        <v>0</v>
      </c>
      <c r="H13" s="245">
        <v>0</v>
      </c>
      <c r="I13" s="245">
        <v>0</v>
      </c>
      <c r="J13" s="245">
        <v>0</v>
      </c>
      <c r="K13" s="245">
        <v>0</v>
      </c>
      <c r="L13" s="245">
        <v>0</v>
      </c>
      <c r="M13" s="245">
        <v>0</v>
      </c>
      <c r="N13" s="247">
        <v>0</v>
      </c>
      <c r="O13" s="271">
        <f t="shared" si="2"/>
        <v>0</v>
      </c>
      <c r="P13" s="2"/>
    </row>
    <row r="14" spans="2:16" ht="18" customHeight="1">
      <c r="B14" s="272" t="s">
        <v>245</v>
      </c>
      <c r="C14" s="244">
        <v>0.53256870000000001</v>
      </c>
      <c r="D14" s="245">
        <v>2.8566444600000001</v>
      </c>
      <c r="E14" s="245">
        <v>3.6800589500000003</v>
      </c>
      <c r="F14" s="245">
        <v>1.6516235299999997</v>
      </c>
      <c r="G14" s="245">
        <v>1.6895218700000005</v>
      </c>
      <c r="H14" s="245">
        <v>1.9577289900000006</v>
      </c>
      <c r="I14" s="245">
        <v>2.2680400699999996</v>
      </c>
      <c r="J14" s="245">
        <v>1.06787586</v>
      </c>
      <c r="K14" s="245">
        <v>2.37072649</v>
      </c>
      <c r="L14" s="245">
        <v>2.1184404800000003</v>
      </c>
      <c r="M14" s="245">
        <v>2.0426293200000001</v>
      </c>
      <c r="N14" s="247">
        <v>3.5746154499999996</v>
      </c>
      <c r="O14" s="271">
        <f t="shared" si="2"/>
        <v>25.810474169999999</v>
      </c>
      <c r="P14" s="2"/>
    </row>
    <row r="15" spans="2:16" ht="24.95" customHeight="1">
      <c r="B15" s="25" t="s">
        <v>246</v>
      </c>
      <c r="C15" s="244">
        <f>+C16+C29+C40</f>
        <v>388.92782731899996</v>
      </c>
      <c r="D15" s="245">
        <f>+D16+D29+D40</f>
        <v>333.52502985999996</v>
      </c>
      <c r="E15" s="245">
        <f t="shared" ref="E15:N15" si="3">+E16+E29+E40</f>
        <v>364.07437701999993</v>
      </c>
      <c r="F15" s="245">
        <f t="shared" si="3"/>
        <v>404.41860978188896</v>
      </c>
      <c r="G15" s="245">
        <f t="shared" si="3"/>
        <v>413.85961601999998</v>
      </c>
      <c r="H15" s="245">
        <f t="shared" si="3"/>
        <v>401.45180753000022</v>
      </c>
      <c r="I15" s="245">
        <f t="shared" si="3"/>
        <v>440.85181122000006</v>
      </c>
      <c r="J15" s="245">
        <f t="shared" si="3"/>
        <v>342.23320124000003</v>
      </c>
      <c r="K15" s="245">
        <f t="shared" si="3"/>
        <v>359.56357067100004</v>
      </c>
      <c r="L15" s="245">
        <f t="shared" si="3"/>
        <v>382.0126868000001</v>
      </c>
      <c r="M15" s="245">
        <f t="shared" si="3"/>
        <v>343.70544060000003</v>
      </c>
      <c r="N15" s="247">
        <f t="shared" si="3"/>
        <v>419.26195497999993</v>
      </c>
      <c r="O15" s="271">
        <f t="shared" si="2"/>
        <v>4593.88593304189</v>
      </c>
      <c r="P15" s="2"/>
    </row>
    <row r="16" spans="2:16" ht="18" customHeight="1">
      <c r="B16" s="272" t="s">
        <v>247</v>
      </c>
      <c r="C16" s="244">
        <f>SUM(C17:C20)</f>
        <v>349.96717902899996</v>
      </c>
      <c r="D16" s="245">
        <f>SUM(D17:D20)</f>
        <v>283.02284857999996</v>
      </c>
      <c r="E16" s="245">
        <f t="shared" ref="E16:N16" si="4">SUM(E17:E20)</f>
        <v>293.38834312999995</v>
      </c>
      <c r="F16" s="245">
        <f t="shared" si="4"/>
        <v>337.15483815800002</v>
      </c>
      <c r="G16" s="245">
        <f t="shared" si="4"/>
        <v>342.59635337999998</v>
      </c>
      <c r="H16" s="245">
        <f t="shared" si="4"/>
        <v>335.53844926000022</v>
      </c>
      <c r="I16" s="245">
        <f t="shared" si="4"/>
        <v>387.32587318000003</v>
      </c>
      <c r="J16" s="245">
        <f t="shared" si="4"/>
        <v>276.62891608000001</v>
      </c>
      <c r="K16" s="245">
        <f t="shared" si="4"/>
        <v>291.07872526100005</v>
      </c>
      <c r="L16" s="245">
        <f t="shared" si="4"/>
        <v>317.87745917000007</v>
      </c>
      <c r="M16" s="245">
        <f t="shared" si="4"/>
        <v>282.02360063000003</v>
      </c>
      <c r="N16" s="247">
        <f t="shared" si="4"/>
        <v>360.78312163999993</v>
      </c>
      <c r="O16" s="271">
        <f t="shared" si="2"/>
        <v>3857.3857074980006</v>
      </c>
      <c r="P16" s="2"/>
    </row>
    <row r="17" spans="2:16">
      <c r="B17" s="265" t="s">
        <v>136</v>
      </c>
      <c r="C17" s="252">
        <v>115.37087023000001</v>
      </c>
      <c r="D17" s="250">
        <v>117.88362638</v>
      </c>
      <c r="E17" s="250">
        <v>117.19153566999999</v>
      </c>
      <c r="F17" s="250">
        <v>129.92934152000001</v>
      </c>
      <c r="G17" s="250">
        <v>125.78141443</v>
      </c>
      <c r="H17" s="250">
        <v>131.44710594</v>
      </c>
      <c r="I17" s="250">
        <v>128.00245157000001</v>
      </c>
      <c r="J17" s="250">
        <v>120.10664652</v>
      </c>
      <c r="K17" s="250">
        <v>117.83948273000001</v>
      </c>
      <c r="L17" s="250">
        <v>119.55915550000002</v>
      </c>
      <c r="M17" s="250">
        <v>119.90725294000001</v>
      </c>
      <c r="N17" s="251">
        <v>189.24091764999997</v>
      </c>
      <c r="O17" s="273">
        <f t="shared" si="2"/>
        <v>1532.2598010800002</v>
      </c>
      <c r="P17" s="2"/>
    </row>
    <row r="18" spans="2:16">
      <c r="B18" s="265" t="s">
        <v>248</v>
      </c>
      <c r="C18" s="252">
        <v>25.32829126</v>
      </c>
      <c r="D18" s="250">
        <v>48.263069939999994</v>
      </c>
      <c r="E18" s="250">
        <v>50.099511880000009</v>
      </c>
      <c r="F18" s="250">
        <v>55.026854330000006</v>
      </c>
      <c r="G18" s="250">
        <v>59.431801180000001</v>
      </c>
      <c r="H18" s="250">
        <v>42.612592820000195</v>
      </c>
      <c r="I18" s="250">
        <v>45.777058060000002</v>
      </c>
      <c r="J18" s="250">
        <v>38.654628019999997</v>
      </c>
      <c r="K18" s="250">
        <v>49.620847910000002</v>
      </c>
      <c r="L18" s="250">
        <v>47.508434260000008</v>
      </c>
      <c r="M18" s="250">
        <v>34.725037510000007</v>
      </c>
      <c r="N18" s="251">
        <v>28.291084089999995</v>
      </c>
      <c r="O18" s="273">
        <f t="shared" si="2"/>
        <v>525.33921126000018</v>
      </c>
      <c r="P18" s="2"/>
    </row>
    <row r="19" spans="2:16">
      <c r="B19" s="265" t="s">
        <v>249</v>
      </c>
      <c r="C19" s="252">
        <v>117.303628159</v>
      </c>
      <c r="D19" s="250">
        <v>21.812774340000001</v>
      </c>
      <c r="E19" s="250">
        <v>23.30732729</v>
      </c>
      <c r="F19" s="250">
        <v>42.614598190000002</v>
      </c>
      <c r="G19" s="250">
        <v>39.26409812</v>
      </c>
      <c r="H19" s="250">
        <v>62.268568820000006</v>
      </c>
      <c r="I19" s="250">
        <v>118.18440993</v>
      </c>
      <c r="J19" s="250">
        <v>23.518783559999999</v>
      </c>
      <c r="K19" s="250">
        <v>26.579597700000001</v>
      </c>
      <c r="L19" s="250">
        <v>48.45923775</v>
      </c>
      <c r="M19" s="250">
        <v>41.079211950000001</v>
      </c>
      <c r="N19" s="251">
        <v>54.10835556</v>
      </c>
      <c r="O19" s="273">
        <f t="shared" si="2"/>
        <v>618.50059136899984</v>
      </c>
      <c r="P19" s="2"/>
    </row>
    <row r="20" spans="2:16">
      <c r="B20" s="265" t="s">
        <v>250</v>
      </c>
      <c r="C20" s="252">
        <f>SUM(C21:C28)</f>
        <v>91.964389379999986</v>
      </c>
      <c r="D20" s="250">
        <f>SUM(D21:D28)</f>
        <v>95.063377919999994</v>
      </c>
      <c r="E20" s="250">
        <f t="shared" ref="E20:N20" si="5">SUM(E21:E28)</f>
        <v>102.78996828999999</v>
      </c>
      <c r="F20" s="250">
        <f t="shared" si="5"/>
        <v>109.58404411799998</v>
      </c>
      <c r="G20" s="250">
        <f t="shared" si="5"/>
        <v>118.11903964999999</v>
      </c>
      <c r="H20" s="250">
        <f t="shared" si="5"/>
        <v>99.210181679999977</v>
      </c>
      <c r="I20" s="250">
        <f t="shared" si="5"/>
        <v>95.361953619999994</v>
      </c>
      <c r="J20" s="250">
        <f t="shared" si="5"/>
        <v>94.34885798000002</v>
      </c>
      <c r="K20" s="250">
        <f t="shared" si="5"/>
        <v>97.038796920999999</v>
      </c>
      <c r="L20" s="250">
        <f t="shared" si="5"/>
        <v>102.35063166000002</v>
      </c>
      <c r="M20" s="250">
        <f t="shared" si="5"/>
        <v>86.312098230000004</v>
      </c>
      <c r="N20" s="251">
        <f t="shared" si="5"/>
        <v>89.142764339999985</v>
      </c>
      <c r="O20" s="273">
        <f t="shared" si="2"/>
        <v>1181.286103789</v>
      </c>
      <c r="P20" s="2"/>
    </row>
    <row r="21" spans="2:16">
      <c r="B21" s="274" t="s">
        <v>251</v>
      </c>
      <c r="C21" s="252">
        <v>44.667384699999992</v>
      </c>
      <c r="D21" s="250">
        <v>55.094441019999998</v>
      </c>
      <c r="E21" s="250">
        <v>63.15629929</v>
      </c>
      <c r="F21" s="250">
        <v>55.910825289999991</v>
      </c>
      <c r="G21" s="250">
        <v>60.816762750000002</v>
      </c>
      <c r="H21" s="250">
        <v>49.522831849999989</v>
      </c>
      <c r="I21" s="250">
        <v>44.224948399999988</v>
      </c>
      <c r="J21" s="250">
        <v>53.129191650000003</v>
      </c>
      <c r="K21" s="250">
        <v>53.865022299999993</v>
      </c>
      <c r="L21" s="250">
        <v>50.210230029999998</v>
      </c>
      <c r="M21" s="250">
        <v>47.809402740000003</v>
      </c>
      <c r="N21" s="251">
        <v>60.81905905</v>
      </c>
      <c r="O21" s="273">
        <f t="shared" si="2"/>
        <v>639.22639906999996</v>
      </c>
      <c r="P21" s="2"/>
    </row>
    <row r="22" spans="2:16">
      <c r="B22" s="274" t="s">
        <v>252</v>
      </c>
      <c r="C22" s="252">
        <v>0</v>
      </c>
      <c r="D22" s="250">
        <v>0</v>
      </c>
      <c r="E22" s="250">
        <v>0</v>
      </c>
      <c r="F22" s="250">
        <v>0</v>
      </c>
      <c r="G22" s="250">
        <v>0</v>
      </c>
      <c r="H22" s="250">
        <v>0</v>
      </c>
      <c r="I22" s="250">
        <v>0</v>
      </c>
      <c r="J22" s="250">
        <v>0</v>
      </c>
      <c r="K22" s="250">
        <v>0</v>
      </c>
      <c r="L22" s="250">
        <v>0</v>
      </c>
      <c r="M22" s="250">
        <v>0</v>
      </c>
      <c r="N22" s="251">
        <v>0</v>
      </c>
      <c r="O22" s="273">
        <f t="shared" si="2"/>
        <v>0</v>
      </c>
      <c r="P22" s="2"/>
    </row>
    <row r="23" spans="2:16">
      <c r="B23" s="274" t="s">
        <v>253</v>
      </c>
      <c r="C23" s="252">
        <v>0.30756213999999998</v>
      </c>
      <c r="D23" s="250">
        <v>0.51634000000000002</v>
      </c>
      <c r="E23" s="250">
        <v>1.3723478099999999</v>
      </c>
      <c r="F23" s="250">
        <v>0.3753958</v>
      </c>
      <c r="G23" s="250">
        <v>0.54654000000000003</v>
      </c>
      <c r="H23" s="250">
        <v>1.47855</v>
      </c>
      <c r="I23" s="250">
        <v>0.16189500000000001</v>
      </c>
      <c r="J23" s="250">
        <v>0.123195</v>
      </c>
      <c r="K23" s="250">
        <v>0.12139</v>
      </c>
      <c r="L23" s="250">
        <v>0.41064000000000001</v>
      </c>
      <c r="M23" s="250">
        <v>0.67215999999999998</v>
      </c>
      <c r="N23" s="251">
        <v>0.75502499999999995</v>
      </c>
      <c r="O23" s="273">
        <f t="shared" si="2"/>
        <v>6.8410407500000003</v>
      </c>
      <c r="P23" s="2"/>
    </row>
    <row r="24" spans="2:16">
      <c r="B24" s="274" t="s">
        <v>254</v>
      </c>
      <c r="C24" s="252">
        <v>46.314170849999989</v>
      </c>
      <c r="D24" s="250">
        <v>35.052598949999997</v>
      </c>
      <c r="E24" s="250">
        <v>34.090437559999998</v>
      </c>
      <c r="F24" s="250">
        <v>49.141110777999998</v>
      </c>
      <c r="G24" s="250">
        <v>54.893021899999994</v>
      </c>
      <c r="H24" s="250">
        <v>47.207430229999993</v>
      </c>
      <c r="I24" s="250">
        <v>50.019610220000004</v>
      </c>
      <c r="J24" s="250">
        <v>37.052045200000002</v>
      </c>
      <c r="K24" s="250">
        <v>40.321698011000002</v>
      </c>
      <c r="L24" s="250">
        <v>48.399650620000017</v>
      </c>
      <c r="M24" s="250">
        <v>36.769425389999995</v>
      </c>
      <c r="N24" s="251">
        <v>27.216497619999998</v>
      </c>
      <c r="O24" s="273">
        <f t="shared" si="2"/>
        <v>506.47769732899997</v>
      </c>
      <c r="P24" s="2"/>
    </row>
    <row r="25" spans="2:16">
      <c r="B25" s="274" t="s">
        <v>255</v>
      </c>
      <c r="C25" s="252">
        <v>0.35210669</v>
      </c>
      <c r="D25" s="250">
        <v>2.4717387500000001</v>
      </c>
      <c r="E25" s="250">
        <v>2.02</v>
      </c>
      <c r="F25" s="250">
        <v>0.109668</v>
      </c>
      <c r="G25" s="250">
        <v>1.5021</v>
      </c>
      <c r="H25" s="250">
        <v>0.64976234999999993</v>
      </c>
      <c r="I25" s="250">
        <v>0.53879999999999995</v>
      </c>
      <c r="J25" s="250">
        <v>0</v>
      </c>
      <c r="K25" s="250">
        <v>0.63160091000000007</v>
      </c>
      <c r="L25" s="250">
        <v>1.4438071699999999</v>
      </c>
      <c r="M25" s="250">
        <v>0.85222094999999998</v>
      </c>
      <c r="N25" s="251">
        <v>3.9814500000000001E-3</v>
      </c>
      <c r="O25" s="273">
        <f t="shared" si="2"/>
        <v>10.575786269999998</v>
      </c>
      <c r="P25" s="2"/>
    </row>
    <row r="26" spans="2:16">
      <c r="B26" s="274" t="s">
        <v>256</v>
      </c>
      <c r="C26" s="252">
        <v>0.32316499999999998</v>
      </c>
      <c r="D26" s="250">
        <v>0.34373999999999999</v>
      </c>
      <c r="E26" s="250">
        <v>0.40734999999999999</v>
      </c>
      <c r="F26" s="250">
        <v>0.36618499999999998</v>
      </c>
      <c r="G26" s="250">
        <v>0.36061500000000002</v>
      </c>
      <c r="H26" s="250">
        <v>0.35160724999999998</v>
      </c>
      <c r="I26" s="250">
        <v>0.41670000000000001</v>
      </c>
      <c r="J26" s="250">
        <v>0.36749500000000002</v>
      </c>
      <c r="K26" s="250">
        <v>0.32691434000000003</v>
      </c>
      <c r="L26" s="250">
        <v>0.31315315000000005</v>
      </c>
      <c r="M26" s="250">
        <v>0.20888915</v>
      </c>
      <c r="N26" s="251">
        <v>0.34820121999999998</v>
      </c>
      <c r="O26" s="273">
        <f t="shared" si="2"/>
        <v>4.13401511</v>
      </c>
      <c r="P26" s="2"/>
    </row>
    <row r="27" spans="2:16">
      <c r="B27" s="274" t="s">
        <v>257</v>
      </c>
      <c r="C27" s="252"/>
      <c r="D27" s="250"/>
      <c r="E27" s="250"/>
      <c r="F27" s="250"/>
      <c r="G27" s="250"/>
      <c r="H27" s="250"/>
      <c r="I27" s="250"/>
      <c r="J27" s="250"/>
      <c r="K27" s="250"/>
      <c r="L27" s="250"/>
      <c r="M27" s="250"/>
      <c r="N27" s="251"/>
      <c r="O27" s="273">
        <f t="shared" si="2"/>
        <v>0</v>
      </c>
      <c r="P27" s="2"/>
    </row>
    <row r="28" spans="2:16">
      <c r="B28" s="274" t="s">
        <v>258</v>
      </c>
      <c r="C28" s="252">
        <v>0</v>
      </c>
      <c r="D28" s="250">
        <v>1.5845191999999999</v>
      </c>
      <c r="E28" s="250">
        <v>1.7435336299999999</v>
      </c>
      <c r="F28" s="250">
        <v>3.6808592500000001</v>
      </c>
      <c r="G28" s="250">
        <v>0</v>
      </c>
      <c r="H28" s="250">
        <v>0</v>
      </c>
      <c r="I28" s="250">
        <v>0</v>
      </c>
      <c r="J28" s="250">
        <v>3.6769311299999998</v>
      </c>
      <c r="K28" s="250">
        <v>1.77217136</v>
      </c>
      <c r="L28" s="250">
        <v>1.5731506899999999</v>
      </c>
      <c r="M28" s="250">
        <v>0</v>
      </c>
      <c r="N28" s="251">
        <v>0</v>
      </c>
      <c r="O28" s="273">
        <f t="shared" si="2"/>
        <v>14.03116526</v>
      </c>
      <c r="P28" s="2"/>
    </row>
    <row r="29" spans="2:16" ht="18" customHeight="1">
      <c r="B29" s="272" t="s">
        <v>259</v>
      </c>
      <c r="C29" s="244">
        <f>SUM(C30:C31)</f>
        <v>39.169695900000001</v>
      </c>
      <c r="D29" s="245">
        <f>SUM(D30:D31)</f>
        <v>50.502181279999995</v>
      </c>
      <c r="E29" s="245">
        <f t="shared" ref="E29:N29" si="6">SUM(E30:E31)</f>
        <v>70.686033890000004</v>
      </c>
      <c r="F29" s="245">
        <f t="shared" si="6"/>
        <v>67.275416763888941</v>
      </c>
      <c r="G29" s="245">
        <f t="shared" si="6"/>
        <v>71.263262640000008</v>
      </c>
      <c r="H29" s="245">
        <f t="shared" si="6"/>
        <v>66.222237800000002</v>
      </c>
      <c r="I29" s="245">
        <f t="shared" si="6"/>
        <v>53.52593804</v>
      </c>
      <c r="J29" s="245">
        <f t="shared" si="6"/>
        <v>65.604285160000003</v>
      </c>
      <c r="K29" s="245">
        <f t="shared" si="6"/>
        <v>68.486460410000007</v>
      </c>
      <c r="L29" s="245">
        <f t="shared" si="6"/>
        <v>64.139265130000013</v>
      </c>
      <c r="M29" s="245">
        <f t="shared" si="6"/>
        <v>61.68345497</v>
      </c>
      <c r="N29" s="247">
        <f t="shared" si="6"/>
        <v>58.56339801</v>
      </c>
      <c r="O29" s="271">
        <f t="shared" si="2"/>
        <v>737.12162999388886</v>
      </c>
      <c r="P29" s="2"/>
    </row>
    <row r="30" spans="2:16">
      <c r="B30" s="265" t="s">
        <v>260</v>
      </c>
      <c r="C30" s="252">
        <v>1.8473976399999996</v>
      </c>
      <c r="D30" s="250">
        <v>9.81014081</v>
      </c>
      <c r="E30" s="250">
        <v>22.155997729999999</v>
      </c>
      <c r="F30" s="250">
        <v>15.49840591388894</v>
      </c>
      <c r="G30" s="250">
        <v>20.10482756</v>
      </c>
      <c r="H30" s="250">
        <v>23.64238284</v>
      </c>
      <c r="I30" s="250">
        <v>13.258530670000001</v>
      </c>
      <c r="J30" s="250">
        <v>12.926059400000002</v>
      </c>
      <c r="K30" s="250">
        <v>24.511483219999999</v>
      </c>
      <c r="L30" s="250">
        <v>20.013601770000001</v>
      </c>
      <c r="M30" s="250">
        <v>19.341152759999996</v>
      </c>
      <c r="N30" s="251">
        <v>20.723576359999999</v>
      </c>
      <c r="O30" s="273">
        <f t="shared" si="2"/>
        <v>203.83355667388895</v>
      </c>
      <c r="P30" s="2"/>
    </row>
    <row r="31" spans="2:16">
      <c r="B31" s="265" t="s">
        <v>261</v>
      </c>
      <c r="C31" s="252">
        <f>SUM(C32:C39)</f>
        <v>37.322298260000004</v>
      </c>
      <c r="D31" s="250">
        <f>SUM(D32:D39)</f>
        <v>40.692040469999995</v>
      </c>
      <c r="E31" s="250">
        <f t="shared" ref="E31:N31" si="7">SUM(E32:E39)</f>
        <v>48.530036160000002</v>
      </c>
      <c r="F31" s="250">
        <f t="shared" si="7"/>
        <v>51.777010849999996</v>
      </c>
      <c r="G31" s="250">
        <f t="shared" si="7"/>
        <v>51.158435080000004</v>
      </c>
      <c r="H31" s="250">
        <f t="shared" si="7"/>
        <v>42.579854959999999</v>
      </c>
      <c r="I31" s="250">
        <f t="shared" si="7"/>
        <v>40.267407370000001</v>
      </c>
      <c r="J31" s="250">
        <f t="shared" si="7"/>
        <v>52.678225760000004</v>
      </c>
      <c r="K31" s="250">
        <f t="shared" si="7"/>
        <v>43.974977190000004</v>
      </c>
      <c r="L31" s="250">
        <f t="shared" si="7"/>
        <v>44.125663360000004</v>
      </c>
      <c r="M31" s="250">
        <f t="shared" si="7"/>
        <v>42.34230221</v>
      </c>
      <c r="N31" s="251">
        <f t="shared" si="7"/>
        <v>37.839821650000005</v>
      </c>
      <c r="O31" s="273">
        <f t="shared" si="2"/>
        <v>533.28807331999997</v>
      </c>
      <c r="P31" s="2"/>
    </row>
    <row r="32" spans="2:16">
      <c r="B32" s="274" t="s">
        <v>251</v>
      </c>
      <c r="C32" s="252">
        <v>28.188860160000001</v>
      </c>
      <c r="D32" s="250">
        <v>29.351902389999999</v>
      </c>
      <c r="E32" s="250">
        <v>30.297348080000003</v>
      </c>
      <c r="F32" s="250">
        <v>29.234803030000002</v>
      </c>
      <c r="G32" s="250">
        <v>29.212445500000001</v>
      </c>
      <c r="H32" s="250">
        <v>29.089556050000002</v>
      </c>
      <c r="I32" s="250">
        <v>29.047427880000001</v>
      </c>
      <c r="J32" s="250">
        <v>29.153486560000001</v>
      </c>
      <c r="K32" s="250">
        <v>29.049197880000005</v>
      </c>
      <c r="L32" s="250">
        <v>29.015711390000003</v>
      </c>
      <c r="M32" s="250">
        <v>29.092137770000001</v>
      </c>
      <c r="N32" s="251">
        <v>29.019895520000002</v>
      </c>
      <c r="O32" s="273">
        <f t="shared" si="2"/>
        <v>349.75277220999999</v>
      </c>
      <c r="P32" s="2"/>
    </row>
    <row r="33" spans="1:16">
      <c r="B33" s="274" t="s">
        <v>252</v>
      </c>
      <c r="C33" s="252">
        <v>0</v>
      </c>
      <c r="D33" s="250">
        <v>0</v>
      </c>
      <c r="E33" s="250">
        <v>0.15906500000000001</v>
      </c>
      <c r="F33" s="250">
        <v>0</v>
      </c>
      <c r="G33" s="250">
        <v>0</v>
      </c>
      <c r="H33" s="250">
        <v>0</v>
      </c>
      <c r="I33" s="250">
        <v>0</v>
      </c>
      <c r="J33" s="250">
        <v>0</v>
      </c>
      <c r="K33" s="250">
        <v>0</v>
      </c>
      <c r="L33" s="250">
        <v>0</v>
      </c>
      <c r="M33" s="250">
        <v>0</v>
      </c>
      <c r="N33" s="251">
        <v>0</v>
      </c>
      <c r="O33" s="273">
        <f t="shared" si="2"/>
        <v>0.15906500000000001</v>
      </c>
      <c r="P33" s="2"/>
    </row>
    <row r="34" spans="1:16">
      <c r="B34" s="274" t="s">
        <v>253</v>
      </c>
      <c r="C34" s="252">
        <v>0</v>
      </c>
      <c r="D34" s="250">
        <v>0</v>
      </c>
      <c r="E34" s="250">
        <v>0</v>
      </c>
      <c r="F34" s="250">
        <v>0</v>
      </c>
      <c r="G34" s="250">
        <v>0</v>
      </c>
      <c r="H34" s="250">
        <v>0</v>
      </c>
      <c r="I34" s="250">
        <v>0</v>
      </c>
      <c r="J34" s="250">
        <v>0</v>
      </c>
      <c r="K34" s="250">
        <v>0</v>
      </c>
      <c r="L34" s="250">
        <v>0</v>
      </c>
      <c r="M34" s="250">
        <v>0</v>
      </c>
      <c r="N34" s="251">
        <v>0</v>
      </c>
      <c r="O34" s="273">
        <f t="shared" si="2"/>
        <v>0</v>
      </c>
      <c r="P34" s="2"/>
    </row>
    <row r="35" spans="1:16">
      <c r="B35" s="274" t="s">
        <v>262</v>
      </c>
      <c r="C35" s="252">
        <v>1.3525116100000001</v>
      </c>
      <c r="D35" s="250">
        <v>2.5612014800000003</v>
      </c>
      <c r="E35" s="250">
        <v>2.2547768000000001</v>
      </c>
      <c r="F35" s="250">
        <v>5.6772381300000001</v>
      </c>
      <c r="G35" s="250">
        <v>6.7935746000000004</v>
      </c>
      <c r="H35" s="250">
        <v>4.4632678600000002</v>
      </c>
      <c r="I35" s="250">
        <v>4.2031730000000005</v>
      </c>
      <c r="J35" s="250">
        <v>6.2141938899999998</v>
      </c>
      <c r="K35" s="250">
        <v>2.67961172</v>
      </c>
      <c r="L35" s="250">
        <v>2.37751153</v>
      </c>
      <c r="M35" s="250">
        <v>3.5925479800000004</v>
      </c>
      <c r="N35" s="251">
        <v>3.2820650000000002</v>
      </c>
      <c r="O35" s="273">
        <f t="shared" si="2"/>
        <v>45.451673599999992</v>
      </c>
      <c r="P35" s="2"/>
    </row>
    <row r="36" spans="1:16">
      <c r="B36" s="274" t="s">
        <v>263</v>
      </c>
      <c r="C36" s="252">
        <v>0.21711179000000003</v>
      </c>
      <c r="D36" s="250">
        <v>7.32739063</v>
      </c>
      <c r="E36" s="250">
        <v>6.989194190000001</v>
      </c>
      <c r="F36" s="250">
        <v>4.4097804500000004</v>
      </c>
      <c r="G36" s="250">
        <v>7.9123989200000002</v>
      </c>
      <c r="H36" s="250">
        <v>2.4746877</v>
      </c>
      <c r="I36" s="250">
        <v>5.3458571399999997</v>
      </c>
      <c r="J36" s="250">
        <v>6.0200573300000002</v>
      </c>
      <c r="K36" s="250">
        <v>5.9173641399999992</v>
      </c>
      <c r="L36" s="250">
        <v>6.0797870900000008</v>
      </c>
      <c r="M36" s="250">
        <v>2.9742090000000005</v>
      </c>
      <c r="N36" s="251">
        <v>2.9700769600000001</v>
      </c>
      <c r="O36" s="273">
        <f t="shared" si="2"/>
        <v>58.637915340000006</v>
      </c>
      <c r="P36" s="2"/>
    </row>
    <row r="37" spans="1:16">
      <c r="B37" s="274" t="s">
        <v>264</v>
      </c>
      <c r="C37" s="252">
        <v>0</v>
      </c>
      <c r="D37" s="250">
        <v>0</v>
      </c>
      <c r="E37" s="250">
        <v>0.3</v>
      </c>
      <c r="F37" s="250">
        <v>0.5</v>
      </c>
      <c r="G37" s="250">
        <v>0.5</v>
      </c>
      <c r="H37" s="250">
        <v>0</v>
      </c>
      <c r="I37" s="250">
        <v>0</v>
      </c>
      <c r="J37" s="250">
        <v>0</v>
      </c>
      <c r="K37" s="250">
        <v>0</v>
      </c>
      <c r="L37" s="250">
        <v>0</v>
      </c>
      <c r="M37" s="250">
        <v>0</v>
      </c>
      <c r="N37" s="251">
        <v>1</v>
      </c>
      <c r="O37" s="273">
        <f t="shared" si="2"/>
        <v>2.2999999999999998</v>
      </c>
      <c r="P37" s="2"/>
    </row>
    <row r="38" spans="1:16">
      <c r="B38" s="274" t="s">
        <v>265</v>
      </c>
      <c r="C38" s="252">
        <v>0</v>
      </c>
      <c r="D38" s="250">
        <v>0</v>
      </c>
      <c r="E38" s="250">
        <v>0</v>
      </c>
      <c r="F38" s="250">
        <v>0</v>
      </c>
      <c r="G38" s="250">
        <v>0</v>
      </c>
      <c r="H38" s="250">
        <v>0</v>
      </c>
      <c r="I38" s="250">
        <v>0</v>
      </c>
      <c r="J38" s="250">
        <v>0</v>
      </c>
      <c r="K38" s="250">
        <v>0</v>
      </c>
      <c r="L38" s="250">
        <v>0</v>
      </c>
      <c r="M38" s="250">
        <v>0</v>
      </c>
      <c r="N38" s="251">
        <v>0</v>
      </c>
      <c r="O38" s="273">
        <f t="shared" si="2"/>
        <v>0</v>
      </c>
      <c r="P38" s="2"/>
    </row>
    <row r="39" spans="1:16">
      <c r="B39" s="274" t="s">
        <v>266</v>
      </c>
      <c r="C39" s="252">
        <v>7.5638147</v>
      </c>
      <c r="D39" s="250">
        <v>1.45154597</v>
      </c>
      <c r="E39" s="250">
        <v>8.529652089999999</v>
      </c>
      <c r="F39" s="250">
        <v>11.955189239999999</v>
      </c>
      <c r="G39" s="250">
        <v>6.7400160599999994</v>
      </c>
      <c r="H39" s="250">
        <v>6.5523433499999992</v>
      </c>
      <c r="I39" s="250">
        <v>1.6709493500000001</v>
      </c>
      <c r="J39" s="250">
        <v>11.29048798</v>
      </c>
      <c r="K39" s="250">
        <v>6.3288034499999997</v>
      </c>
      <c r="L39" s="250">
        <v>6.6526533499999996</v>
      </c>
      <c r="M39" s="250">
        <v>6.6834074599999997</v>
      </c>
      <c r="N39" s="251">
        <v>1.5677841699999999</v>
      </c>
      <c r="O39" s="273">
        <f t="shared" si="2"/>
        <v>76.986647169999998</v>
      </c>
      <c r="P39" s="2"/>
    </row>
    <row r="40" spans="1:16" ht="18" customHeight="1">
      <c r="B40" s="275" t="s">
        <v>267</v>
      </c>
      <c r="C40" s="257">
        <f>SUM(C41:C45)</f>
        <v>-0.20904760999999999</v>
      </c>
      <c r="D40" s="258">
        <f>SUM(D41:D45)</f>
        <v>0</v>
      </c>
      <c r="E40" s="258">
        <f t="shared" ref="E40:N40" si="8">SUM(E41:E45)</f>
        <v>0</v>
      </c>
      <c r="F40" s="258">
        <f t="shared" si="8"/>
        <v>-1.164514E-2</v>
      </c>
      <c r="G40" s="258">
        <f t="shared" si="8"/>
        <v>0</v>
      </c>
      <c r="H40" s="258">
        <f t="shared" si="8"/>
        <v>-0.30887953000000001</v>
      </c>
      <c r="I40" s="258">
        <f t="shared" si="8"/>
        <v>0</v>
      </c>
      <c r="J40" s="258">
        <f t="shared" si="8"/>
        <v>0</v>
      </c>
      <c r="K40" s="258">
        <f t="shared" si="8"/>
        <v>-1.6149999999999999E-3</v>
      </c>
      <c r="L40" s="258">
        <f t="shared" si="8"/>
        <v>-4.0375000000000003E-3</v>
      </c>
      <c r="M40" s="258">
        <f t="shared" si="8"/>
        <v>-1.6149999999999999E-3</v>
      </c>
      <c r="N40" s="259">
        <f t="shared" si="8"/>
        <v>-8.4564669999999995E-2</v>
      </c>
      <c r="O40" s="276">
        <f t="shared" si="2"/>
        <v>-0.62140445000000011</v>
      </c>
      <c r="P40" s="2"/>
    </row>
    <row r="41" spans="1:16">
      <c r="A41" s="254"/>
      <c r="B41" s="265" t="s">
        <v>251</v>
      </c>
      <c r="C41" s="252">
        <v>-0.20904760999999999</v>
      </c>
      <c r="D41" s="250">
        <v>0</v>
      </c>
      <c r="E41" s="250">
        <v>0</v>
      </c>
      <c r="F41" s="250">
        <v>0</v>
      </c>
      <c r="G41" s="250">
        <v>0</v>
      </c>
      <c r="H41" s="250">
        <v>0</v>
      </c>
      <c r="I41" s="250">
        <v>0</v>
      </c>
      <c r="J41" s="250">
        <v>0</v>
      </c>
      <c r="K41" s="250">
        <v>-1.6149999999999999E-3</v>
      </c>
      <c r="L41" s="250">
        <v>-4.0375000000000003E-3</v>
      </c>
      <c r="M41" s="250">
        <v>-1.6149999999999999E-3</v>
      </c>
      <c r="N41" s="251">
        <v>0</v>
      </c>
      <c r="O41" s="273">
        <f t="shared" si="2"/>
        <v>-0.21631511</v>
      </c>
      <c r="P41" s="2"/>
    </row>
    <row r="42" spans="1:16">
      <c r="A42" s="254"/>
      <c r="B42" s="265" t="s">
        <v>252</v>
      </c>
      <c r="C42" s="252">
        <v>0</v>
      </c>
      <c r="D42" s="250">
        <v>0</v>
      </c>
      <c r="E42" s="250">
        <v>0</v>
      </c>
      <c r="F42" s="250">
        <v>0</v>
      </c>
      <c r="G42" s="250">
        <v>0</v>
      </c>
      <c r="H42" s="250">
        <v>-8.4602479999999994E-2</v>
      </c>
      <c r="I42" s="250">
        <v>0</v>
      </c>
      <c r="J42" s="250">
        <v>0</v>
      </c>
      <c r="K42" s="250">
        <v>0</v>
      </c>
      <c r="L42" s="250">
        <v>0</v>
      </c>
      <c r="M42" s="250">
        <v>0</v>
      </c>
      <c r="N42" s="251">
        <v>-8.4564669999999995E-2</v>
      </c>
      <c r="O42" s="273">
        <f t="shared" si="2"/>
        <v>-0.16916714999999999</v>
      </c>
      <c r="P42" s="2"/>
    </row>
    <row r="43" spans="1:16">
      <c r="A43" s="254"/>
      <c r="B43" s="265" t="s">
        <v>253</v>
      </c>
      <c r="C43" s="252">
        <v>0</v>
      </c>
      <c r="D43" s="250">
        <v>0</v>
      </c>
      <c r="E43" s="250">
        <v>0</v>
      </c>
      <c r="F43" s="250">
        <v>0</v>
      </c>
      <c r="G43" s="250">
        <v>0</v>
      </c>
      <c r="H43" s="250">
        <v>0</v>
      </c>
      <c r="I43" s="250">
        <v>0</v>
      </c>
      <c r="J43" s="250">
        <v>0</v>
      </c>
      <c r="K43" s="250">
        <v>0</v>
      </c>
      <c r="L43" s="250">
        <v>0</v>
      </c>
      <c r="M43" s="250">
        <v>0</v>
      </c>
      <c r="N43" s="251">
        <v>0</v>
      </c>
      <c r="O43" s="273">
        <f t="shared" si="2"/>
        <v>0</v>
      </c>
      <c r="P43" s="2"/>
    </row>
    <row r="44" spans="1:16">
      <c r="A44" s="254"/>
      <c r="B44" s="265" t="s">
        <v>254</v>
      </c>
      <c r="C44" s="252">
        <v>0</v>
      </c>
      <c r="D44" s="250">
        <v>0</v>
      </c>
      <c r="E44" s="250">
        <v>0</v>
      </c>
      <c r="F44" s="250">
        <v>-1.164514E-2</v>
      </c>
      <c r="G44" s="250">
        <v>0</v>
      </c>
      <c r="H44" s="250">
        <v>-0.22427705000000001</v>
      </c>
      <c r="I44" s="250">
        <v>0</v>
      </c>
      <c r="J44" s="250">
        <v>0</v>
      </c>
      <c r="K44" s="250">
        <v>0</v>
      </c>
      <c r="L44" s="250">
        <v>0</v>
      </c>
      <c r="M44" s="250">
        <v>0</v>
      </c>
      <c r="N44" s="251">
        <v>0</v>
      </c>
      <c r="O44" s="273">
        <f t="shared" si="2"/>
        <v>-0.23592219</v>
      </c>
      <c r="P44" s="2"/>
    </row>
    <row r="45" spans="1:16">
      <c r="A45" s="254"/>
      <c r="B45" s="265" t="s">
        <v>268</v>
      </c>
      <c r="C45" s="252"/>
      <c r="D45" s="250"/>
      <c r="E45" s="250"/>
      <c r="F45" s="250"/>
      <c r="G45" s="250"/>
      <c r="H45" s="250"/>
      <c r="I45" s="250"/>
      <c r="J45" s="250"/>
      <c r="K45" s="250"/>
      <c r="L45" s="250"/>
      <c r="M45" s="250"/>
      <c r="N45" s="251"/>
      <c r="O45" s="273">
        <f t="shared" si="2"/>
        <v>0</v>
      </c>
      <c r="P45" s="2"/>
    </row>
    <row r="46" spans="1:16" ht="24.95" customHeight="1">
      <c r="A46" s="254"/>
      <c r="B46" s="25" t="s">
        <v>269</v>
      </c>
      <c r="C46" s="244">
        <f>C9-C16</f>
        <v>36.204021241000021</v>
      </c>
      <c r="D46" s="245">
        <f>D9-D16</f>
        <v>24.093500600000027</v>
      </c>
      <c r="E46" s="245">
        <f t="shared" ref="E46:N46" si="9">E9-E16</f>
        <v>61.25184648000004</v>
      </c>
      <c r="F46" s="245">
        <f t="shared" si="9"/>
        <v>286.6349365019999</v>
      </c>
      <c r="G46" s="245">
        <f t="shared" si="9"/>
        <v>-22.432608639999955</v>
      </c>
      <c r="H46" s="245">
        <f t="shared" si="9"/>
        <v>-6.1292314700002635</v>
      </c>
      <c r="I46" s="245">
        <f t="shared" si="9"/>
        <v>-41.229420250000032</v>
      </c>
      <c r="J46" s="245">
        <f t="shared" si="9"/>
        <v>35.46245319999997</v>
      </c>
      <c r="K46" s="245">
        <f t="shared" si="9"/>
        <v>20.567422198999964</v>
      </c>
      <c r="L46" s="245">
        <f t="shared" si="9"/>
        <v>16.960986259999913</v>
      </c>
      <c r="M46" s="245">
        <f t="shared" si="9"/>
        <v>46.97924530999984</v>
      </c>
      <c r="N46" s="247">
        <f t="shared" si="9"/>
        <v>-39.085629939999933</v>
      </c>
      <c r="O46" s="271">
        <f t="shared" si="2"/>
        <v>419.27752149199949</v>
      </c>
      <c r="P46" s="2"/>
    </row>
    <row r="47" spans="1:16" ht="24.95" customHeight="1">
      <c r="A47" s="254"/>
      <c r="B47" s="25" t="s">
        <v>296</v>
      </c>
      <c r="C47" s="252"/>
      <c r="D47" s="250"/>
      <c r="E47" s="250"/>
      <c r="F47" s="250"/>
      <c r="G47" s="250"/>
      <c r="H47" s="250"/>
      <c r="I47" s="250"/>
      <c r="J47" s="250"/>
      <c r="K47" s="250"/>
      <c r="L47" s="250"/>
      <c r="M47" s="250"/>
      <c r="N47" s="251"/>
      <c r="O47" s="273"/>
      <c r="P47" s="2"/>
    </row>
    <row r="48" spans="1:16" ht="18" customHeight="1">
      <c r="A48" s="254"/>
      <c r="B48" s="272" t="s">
        <v>272</v>
      </c>
      <c r="C48" s="244">
        <f>C8-C15</f>
        <v>-2.2240583489999608</v>
      </c>
      <c r="D48" s="245">
        <f>D8-D15</f>
        <v>-23.552036219999991</v>
      </c>
      <c r="E48" s="245">
        <f t="shared" ref="E48:N48" si="10">E8-E15</f>
        <v>-5.7541284599999472</v>
      </c>
      <c r="F48" s="245">
        <f t="shared" si="10"/>
        <v>221.02278840811101</v>
      </c>
      <c r="G48" s="245">
        <f t="shared" si="10"/>
        <v>-92.006349409999928</v>
      </c>
      <c r="H48" s="245">
        <f t="shared" si="10"/>
        <v>-70.084860750000246</v>
      </c>
      <c r="I48" s="245">
        <f t="shared" si="10"/>
        <v>-92.487318220000077</v>
      </c>
      <c r="J48" s="245">
        <f t="shared" si="10"/>
        <v>-29.073956100000032</v>
      </c>
      <c r="K48" s="245">
        <f t="shared" si="10"/>
        <v>-45.546696721000046</v>
      </c>
      <c r="L48" s="245">
        <f t="shared" si="10"/>
        <v>-45.055800890000114</v>
      </c>
      <c r="M48" s="245">
        <f t="shared" si="10"/>
        <v>-12.659965340000156</v>
      </c>
      <c r="N48" s="247">
        <f t="shared" si="10"/>
        <v>-93.989847829999917</v>
      </c>
      <c r="O48" s="271">
        <f t="shared" si="2"/>
        <v>-291.4122298818894</v>
      </c>
      <c r="P48" s="2"/>
    </row>
    <row r="49" spans="1:16" ht="18" customHeight="1">
      <c r="A49" s="254"/>
      <c r="B49" s="272" t="s">
        <v>273</v>
      </c>
      <c r="C49" s="244">
        <f>C48-C14</f>
        <v>-2.7566270489999609</v>
      </c>
      <c r="D49" s="245">
        <f>D48-D14</f>
        <v>-26.408680679999989</v>
      </c>
      <c r="E49" s="245">
        <f t="shared" ref="E49:N49" si="11">E48-E14</f>
        <v>-9.4341874099999465</v>
      </c>
      <c r="F49" s="245">
        <f t="shared" si="11"/>
        <v>219.37116487811102</v>
      </c>
      <c r="G49" s="245">
        <f t="shared" si="11"/>
        <v>-93.695871279999935</v>
      </c>
      <c r="H49" s="245">
        <f t="shared" si="11"/>
        <v>-72.042589740000253</v>
      </c>
      <c r="I49" s="245">
        <f t="shared" si="11"/>
        <v>-94.755358290000075</v>
      </c>
      <c r="J49" s="245">
        <f t="shared" si="11"/>
        <v>-30.141831960000033</v>
      </c>
      <c r="K49" s="245">
        <f t="shared" si="11"/>
        <v>-47.917423211000049</v>
      </c>
      <c r="L49" s="245">
        <f t="shared" si="11"/>
        <v>-47.174241370000118</v>
      </c>
      <c r="M49" s="245">
        <f t="shared" si="11"/>
        <v>-14.702594660000155</v>
      </c>
      <c r="N49" s="247">
        <f t="shared" si="11"/>
        <v>-97.564463279999913</v>
      </c>
      <c r="O49" s="271">
        <f t="shared" si="2"/>
        <v>-317.22270405188942</v>
      </c>
      <c r="P49" s="2"/>
    </row>
    <row r="50" spans="1:16" ht="18" customHeight="1">
      <c r="A50" s="254"/>
      <c r="B50" s="272" t="s">
        <v>274</v>
      </c>
      <c r="C50" s="244">
        <f>C48-C73</f>
        <v>-39.727872968999961</v>
      </c>
      <c r="D50" s="245">
        <f>D48-D73</f>
        <v>-61.280395169999991</v>
      </c>
      <c r="E50" s="245">
        <f t="shared" ref="E50:N50" si="12">E48-E73</f>
        <v>-43.623660039999947</v>
      </c>
      <c r="F50" s="245">
        <f t="shared" si="12"/>
        <v>183.16799681811102</v>
      </c>
      <c r="G50" s="245">
        <f t="shared" si="12"/>
        <v>-130.17276680999993</v>
      </c>
      <c r="H50" s="245">
        <f t="shared" si="12"/>
        <v>-108.40898863000024</v>
      </c>
      <c r="I50" s="245">
        <f t="shared" si="12"/>
        <v>-131.31036369000009</v>
      </c>
      <c r="J50" s="245">
        <f t="shared" si="12"/>
        <v>-67.779153400000041</v>
      </c>
      <c r="K50" s="245">
        <f t="shared" si="12"/>
        <v>-83.547557441000052</v>
      </c>
      <c r="L50" s="245">
        <f t="shared" si="12"/>
        <v>-83.978563060000113</v>
      </c>
      <c r="M50" s="245">
        <f t="shared" si="12"/>
        <v>-56.163083070000155</v>
      </c>
      <c r="N50" s="247">
        <f t="shared" si="12"/>
        <v>-153.79805004999992</v>
      </c>
      <c r="O50" s="271">
        <f t="shared" si="2"/>
        <v>-776.62245751188948</v>
      </c>
      <c r="P50" s="2"/>
    </row>
    <row r="51" spans="1:16" ht="24.95" customHeight="1">
      <c r="A51" s="254"/>
      <c r="B51" s="25" t="s">
        <v>275</v>
      </c>
      <c r="C51" s="244">
        <f>SUM(C52:C53)</f>
        <v>-10.388843210000001</v>
      </c>
      <c r="D51" s="245">
        <f>SUM(D52:D53)</f>
        <v>-22.505652649999998</v>
      </c>
      <c r="E51" s="245">
        <f t="shared" ref="E51:N51" si="13">SUM(E52:E53)</f>
        <v>-9.1859053400000015</v>
      </c>
      <c r="F51" s="245">
        <f t="shared" si="13"/>
        <v>5.1228457400000007</v>
      </c>
      <c r="G51" s="245">
        <f t="shared" si="13"/>
        <v>-18.554293690000002</v>
      </c>
      <c r="H51" s="245">
        <f t="shared" si="13"/>
        <v>-8.0014268999999985</v>
      </c>
      <c r="I51" s="245">
        <f t="shared" si="13"/>
        <v>18.603215010000003</v>
      </c>
      <c r="J51" s="245">
        <f t="shared" si="13"/>
        <v>6.5027148500000038</v>
      </c>
      <c r="K51" s="245">
        <f t="shared" si="13"/>
        <v>-2.9368596400000087</v>
      </c>
      <c r="L51" s="245">
        <f t="shared" si="13"/>
        <v>6.5963063000000002</v>
      </c>
      <c r="M51" s="245">
        <f t="shared" si="13"/>
        <v>-9.8891184699999997</v>
      </c>
      <c r="N51" s="247">
        <f t="shared" si="13"/>
        <v>-6.618862270000001</v>
      </c>
      <c r="O51" s="271">
        <f t="shared" si="2"/>
        <v>-51.255880269999992</v>
      </c>
      <c r="P51" s="2"/>
    </row>
    <row r="52" spans="1:16">
      <c r="A52" s="254"/>
      <c r="B52" s="35" t="s">
        <v>276</v>
      </c>
      <c r="C52" s="252">
        <v>2.6124500900000003</v>
      </c>
      <c r="D52" s="250">
        <v>4.8637770300000005</v>
      </c>
      <c r="E52" s="250">
        <v>4.1625445000000001</v>
      </c>
      <c r="F52" s="250">
        <v>9.2801882300000003</v>
      </c>
      <c r="G52" s="250">
        <v>4.5798122000000001</v>
      </c>
      <c r="H52" s="250">
        <v>25.526181010000002</v>
      </c>
      <c r="I52" s="250">
        <v>33.254903310000003</v>
      </c>
      <c r="J52" s="250">
        <v>34.986562450000001</v>
      </c>
      <c r="K52" s="250">
        <v>95.246716429999992</v>
      </c>
      <c r="L52" s="250">
        <v>12.1623167</v>
      </c>
      <c r="M52" s="250">
        <v>15.31145489</v>
      </c>
      <c r="N52" s="251">
        <v>26.278276470000002</v>
      </c>
      <c r="O52" s="273">
        <f t="shared" si="2"/>
        <v>268.26518331</v>
      </c>
      <c r="P52" s="2"/>
    </row>
    <row r="53" spans="1:16">
      <c r="A53" s="254"/>
      <c r="B53" s="35" t="s">
        <v>277</v>
      </c>
      <c r="C53" s="252">
        <v>-13.0012933</v>
      </c>
      <c r="D53" s="250">
        <v>-27.36942968</v>
      </c>
      <c r="E53" s="250">
        <v>-13.348449840000001</v>
      </c>
      <c r="F53" s="250">
        <v>-4.1573424899999996</v>
      </c>
      <c r="G53" s="250">
        <v>-23.134105890000001</v>
      </c>
      <c r="H53" s="250">
        <v>-33.52760791</v>
      </c>
      <c r="I53" s="250">
        <v>-14.6516883</v>
      </c>
      <c r="J53" s="250">
        <v>-28.483847599999997</v>
      </c>
      <c r="K53" s="250">
        <v>-98.183576070000001</v>
      </c>
      <c r="L53" s="250">
        <v>-5.5660103999999997</v>
      </c>
      <c r="M53" s="250">
        <v>-25.20057336</v>
      </c>
      <c r="N53" s="251">
        <v>-32.897138740000003</v>
      </c>
      <c r="O53" s="273">
        <f t="shared" si="2"/>
        <v>-319.52106357999997</v>
      </c>
      <c r="P53" s="2"/>
    </row>
    <row r="54" spans="1:16" ht="24.95" customHeight="1">
      <c r="A54" s="254"/>
      <c r="B54" s="25" t="s">
        <v>278</v>
      </c>
      <c r="C54" s="244">
        <f>+C55+C58+C61+C64+C65</f>
        <v>12.612901558999965</v>
      </c>
      <c r="D54" s="245">
        <f t="shared" ref="D54:N54" si="14">+D55+D58+D61+D64+D65</f>
        <v>46.057688869999993</v>
      </c>
      <c r="E54" s="245">
        <f t="shared" si="14"/>
        <v>14.940033799999952</v>
      </c>
      <c r="F54" s="245">
        <f t="shared" si="14"/>
        <v>-226.14563414811101</v>
      </c>
      <c r="G54" s="245">
        <f t="shared" si="14"/>
        <v>110.56064309999994</v>
      </c>
      <c r="H54" s="245">
        <f t="shared" si="14"/>
        <v>78.08628765000023</v>
      </c>
      <c r="I54" s="245">
        <f t="shared" si="14"/>
        <v>73.884103210000063</v>
      </c>
      <c r="J54" s="245">
        <f t="shared" si="14"/>
        <v>22.571241250000021</v>
      </c>
      <c r="K54" s="245">
        <f t="shared" si="14"/>
        <v>48.483556361000055</v>
      </c>
      <c r="L54" s="245">
        <f t="shared" si="14"/>
        <v>38.459494590000133</v>
      </c>
      <c r="M54" s="245">
        <f t="shared" si="14"/>
        <v>22.549083810000148</v>
      </c>
      <c r="N54" s="247">
        <f t="shared" si="14"/>
        <v>102.48305524999998</v>
      </c>
      <c r="O54" s="271">
        <f>SUM(C54:N54)</f>
        <v>344.54245530188945</v>
      </c>
      <c r="P54" s="2"/>
    </row>
    <row r="55" spans="1:16">
      <c r="A55" s="254"/>
      <c r="B55" s="35" t="s">
        <v>279</v>
      </c>
      <c r="C55" s="252">
        <f>+C56+C57</f>
        <v>1.3151835999999999</v>
      </c>
      <c r="D55" s="250">
        <f>+D56+D57</f>
        <v>-43.768328740000001</v>
      </c>
      <c r="E55" s="250">
        <f t="shared" ref="E55:N55" si="15">+E56+E57</f>
        <v>6.3877286499999997</v>
      </c>
      <c r="F55" s="250">
        <f t="shared" si="15"/>
        <v>-24.23142013</v>
      </c>
      <c r="G55" s="250">
        <f t="shared" si="15"/>
        <v>-102.5063073</v>
      </c>
      <c r="H55" s="250">
        <f t="shared" si="15"/>
        <v>60.657915699999997</v>
      </c>
      <c r="I55" s="250">
        <f t="shared" si="15"/>
        <v>13.674651989999999</v>
      </c>
      <c r="J55" s="250">
        <f t="shared" si="15"/>
        <v>14.62957653</v>
      </c>
      <c r="K55" s="250">
        <f t="shared" si="15"/>
        <v>-11.95575771</v>
      </c>
      <c r="L55" s="250">
        <f t="shared" si="15"/>
        <v>84.835739489999995</v>
      </c>
      <c r="M55" s="250">
        <f t="shared" si="15"/>
        <v>-29.034730570000001</v>
      </c>
      <c r="N55" s="251">
        <f t="shared" si="15"/>
        <v>21.008729940000023</v>
      </c>
      <c r="O55" s="273">
        <f t="shared" si="2"/>
        <v>-8.9870185500000233</v>
      </c>
      <c r="P55" s="2"/>
    </row>
    <row r="56" spans="1:16">
      <c r="A56" s="254"/>
      <c r="B56" s="265" t="s">
        <v>280</v>
      </c>
      <c r="C56" s="252">
        <v>0</v>
      </c>
      <c r="D56" s="250">
        <v>0</v>
      </c>
      <c r="E56" s="250">
        <v>0</v>
      </c>
      <c r="F56" s="250">
        <v>0</v>
      </c>
      <c r="G56" s="250">
        <v>-0.60614285000000001</v>
      </c>
      <c r="H56" s="250">
        <v>0</v>
      </c>
      <c r="I56" s="250">
        <v>0</v>
      </c>
      <c r="J56" s="250">
        <v>0</v>
      </c>
      <c r="K56" s="250">
        <v>0</v>
      </c>
      <c r="L56" s="250">
        <v>0</v>
      </c>
      <c r="M56" s="250">
        <v>0</v>
      </c>
      <c r="N56" s="251">
        <v>0</v>
      </c>
      <c r="O56" s="273">
        <f t="shared" si="2"/>
        <v>-0.60614285000000001</v>
      </c>
      <c r="P56" s="2"/>
    </row>
    <row r="57" spans="1:16">
      <c r="A57" s="254"/>
      <c r="B57" s="265" t="s">
        <v>281</v>
      </c>
      <c r="C57" s="252">
        <v>1.3151835999999999</v>
      </c>
      <c r="D57" s="250">
        <v>-43.768328740000001</v>
      </c>
      <c r="E57" s="250">
        <v>6.3877286499999997</v>
      </c>
      <c r="F57" s="250">
        <v>-24.23142013</v>
      </c>
      <c r="G57" s="250">
        <v>-101.90016445000001</v>
      </c>
      <c r="H57" s="250">
        <v>60.657915699999997</v>
      </c>
      <c r="I57" s="250">
        <v>13.674651989999999</v>
      </c>
      <c r="J57" s="250">
        <v>14.62957653</v>
      </c>
      <c r="K57" s="250">
        <v>-11.95575771</v>
      </c>
      <c r="L57" s="250">
        <v>84.835739489999995</v>
      </c>
      <c r="M57" s="250">
        <v>-29.034730570000001</v>
      </c>
      <c r="N57" s="251">
        <v>21.008729940000023</v>
      </c>
      <c r="O57" s="273">
        <f t="shared" si="2"/>
        <v>-8.3808756999999972</v>
      </c>
      <c r="P57" s="2"/>
    </row>
    <row r="58" spans="1:16">
      <c r="A58" s="254"/>
      <c r="B58" s="35" t="s">
        <v>282</v>
      </c>
      <c r="C58" s="252">
        <f>+C59+C60</f>
        <v>-1.2605210599999985</v>
      </c>
      <c r="D58" s="250">
        <f>+D59+D60</f>
        <v>52.6861119</v>
      </c>
      <c r="E58" s="250">
        <f t="shared" ref="E58:N58" si="16">+E59+E60</f>
        <v>26.609042909999999</v>
      </c>
      <c r="F58" s="250">
        <f t="shared" si="16"/>
        <v>-205.95022865999999</v>
      </c>
      <c r="G58" s="250">
        <f t="shared" si="16"/>
        <v>188.43303436000002</v>
      </c>
      <c r="H58" s="250">
        <f t="shared" si="16"/>
        <v>40.354141890000001</v>
      </c>
      <c r="I58" s="250">
        <f t="shared" si="16"/>
        <v>107.00989878</v>
      </c>
      <c r="J58" s="250">
        <f t="shared" si="16"/>
        <v>9.1770900199999978</v>
      </c>
      <c r="K58" s="250">
        <f t="shared" si="16"/>
        <v>46.338583970000002</v>
      </c>
      <c r="L58" s="250">
        <f t="shared" si="16"/>
        <v>0.82756307000000007</v>
      </c>
      <c r="M58" s="250">
        <f t="shared" si="16"/>
        <v>41.313423929999999</v>
      </c>
      <c r="N58" s="251">
        <f t="shared" si="16"/>
        <v>47.128993510000001</v>
      </c>
      <c r="O58" s="273">
        <f t="shared" si="2"/>
        <v>352.66713462000007</v>
      </c>
      <c r="P58" s="2"/>
    </row>
    <row r="59" spans="1:16">
      <c r="A59" s="254"/>
      <c r="B59" s="265" t="s">
        <v>280</v>
      </c>
      <c r="C59" s="252">
        <v>17.483478940000001</v>
      </c>
      <c r="D59" s="250">
        <v>53.297111899999997</v>
      </c>
      <c r="E59" s="250">
        <v>29.160042910000001</v>
      </c>
      <c r="F59" s="250">
        <v>35.018771340000001</v>
      </c>
      <c r="G59" s="250">
        <v>-10.75896564</v>
      </c>
      <c r="H59" s="250">
        <v>32.424141890000001</v>
      </c>
      <c r="I59" s="250">
        <v>87.548898780000002</v>
      </c>
      <c r="J59" s="250">
        <v>18.294090019999999</v>
      </c>
      <c r="K59" s="250">
        <v>36.015583970000002</v>
      </c>
      <c r="L59" s="250">
        <v>3.0165630700000001</v>
      </c>
      <c r="M59" s="250">
        <v>20.664423930000002</v>
      </c>
      <c r="N59" s="251">
        <v>18.956993510000004</v>
      </c>
      <c r="O59" s="273">
        <f t="shared" si="2"/>
        <v>341.12113462000008</v>
      </c>
      <c r="P59" s="2"/>
    </row>
    <row r="60" spans="1:16">
      <c r="A60" s="254"/>
      <c r="B60" s="265" t="s">
        <v>281</v>
      </c>
      <c r="C60" s="252">
        <v>-18.744</v>
      </c>
      <c r="D60" s="250">
        <v>-0.61099999999999999</v>
      </c>
      <c r="E60" s="250">
        <v>-2.5510000000000002</v>
      </c>
      <c r="F60" s="250">
        <v>-240.96899999999999</v>
      </c>
      <c r="G60" s="250">
        <v>199.19200000000001</v>
      </c>
      <c r="H60" s="250">
        <v>7.93</v>
      </c>
      <c r="I60" s="250">
        <v>19.460999999999999</v>
      </c>
      <c r="J60" s="250">
        <v>-9.1170000000000009</v>
      </c>
      <c r="K60" s="250">
        <v>10.323</v>
      </c>
      <c r="L60" s="250">
        <v>-2.1890000000000001</v>
      </c>
      <c r="M60" s="250">
        <v>20.649000000000001</v>
      </c>
      <c r="N60" s="251">
        <v>28.172000000000001</v>
      </c>
      <c r="O60" s="273">
        <f t="shared" si="2"/>
        <v>11.54600000000001</v>
      </c>
      <c r="P60" s="2"/>
    </row>
    <row r="61" spans="1:16">
      <c r="A61" s="254"/>
      <c r="B61" s="35" t="s">
        <v>283</v>
      </c>
      <c r="C61" s="252">
        <f>+C62+C63</f>
        <v>0</v>
      </c>
      <c r="D61" s="250">
        <f>+D62+D63</f>
        <v>0</v>
      </c>
      <c r="E61" s="250">
        <f t="shared" ref="E61:N61" si="17">+E62+E63</f>
        <v>0</v>
      </c>
      <c r="F61" s="250">
        <f t="shared" si="17"/>
        <v>0</v>
      </c>
      <c r="G61" s="250">
        <f t="shared" si="17"/>
        <v>0</v>
      </c>
      <c r="H61" s="250">
        <f t="shared" si="17"/>
        <v>0</v>
      </c>
      <c r="I61" s="250">
        <f t="shared" si="17"/>
        <v>0</v>
      </c>
      <c r="J61" s="250">
        <f t="shared" si="17"/>
        <v>0</v>
      </c>
      <c r="K61" s="250">
        <f t="shared" si="17"/>
        <v>0</v>
      </c>
      <c r="L61" s="250">
        <f t="shared" si="17"/>
        <v>0</v>
      </c>
      <c r="M61" s="250">
        <f t="shared" si="17"/>
        <v>0</v>
      </c>
      <c r="N61" s="251">
        <f t="shared" si="17"/>
        <v>0</v>
      </c>
      <c r="O61" s="273">
        <f t="shared" si="2"/>
        <v>0</v>
      </c>
      <c r="P61" s="2"/>
    </row>
    <row r="62" spans="1:16">
      <c r="A62" s="254"/>
      <c r="B62" s="265" t="s">
        <v>280</v>
      </c>
      <c r="C62" s="252"/>
      <c r="D62" s="250"/>
      <c r="E62" s="250"/>
      <c r="F62" s="250"/>
      <c r="G62" s="250"/>
      <c r="H62" s="250"/>
      <c r="I62" s="250"/>
      <c r="J62" s="250"/>
      <c r="K62" s="250"/>
      <c r="L62" s="250"/>
      <c r="M62" s="250"/>
      <c r="N62" s="251"/>
      <c r="O62" s="273">
        <f t="shared" si="2"/>
        <v>0</v>
      </c>
      <c r="P62" s="2"/>
    </row>
    <row r="63" spans="1:16">
      <c r="A63" s="254"/>
      <c r="B63" s="265" t="s">
        <v>281</v>
      </c>
      <c r="C63" s="252"/>
      <c r="D63" s="250"/>
      <c r="E63" s="250"/>
      <c r="F63" s="250"/>
      <c r="G63" s="250"/>
      <c r="H63" s="250"/>
      <c r="I63" s="250"/>
      <c r="J63" s="250"/>
      <c r="K63" s="250"/>
      <c r="L63" s="250"/>
      <c r="M63" s="250"/>
      <c r="N63" s="251"/>
      <c r="O63" s="273">
        <f t="shared" si="2"/>
        <v>0</v>
      </c>
      <c r="P63" s="2"/>
    </row>
    <row r="64" spans="1:16">
      <c r="A64" s="254"/>
      <c r="B64" s="35" t="s">
        <v>284</v>
      </c>
      <c r="C64" s="252">
        <v>49.753812480000001</v>
      </c>
      <c r="D64" s="250">
        <v>57.652016930000002</v>
      </c>
      <c r="E64" s="250">
        <v>42.39949421</v>
      </c>
      <c r="F64" s="250">
        <v>25.138427479999997</v>
      </c>
      <c r="G64" s="250">
        <v>35.766314389999998</v>
      </c>
      <c r="H64" s="250">
        <v>12.031698290000005</v>
      </c>
      <c r="I64" s="250">
        <v>27.088762389999996</v>
      </c>
      <c r="J64" s="250">
        <v>21.125286000000003</v>
      </c>
      <c r="K64" s="250">
        <v>63.38528079000001</v>
      </c>
      <c r="L64" s="250">
        <v>3.8993250199999991</v>
      </c>
      <c r="M64" s="250">
        <v>57.70023934000001</v>
      </c>
      <c r="N64" s="251">
        <v>118.856013</v>
      </c>
      <c r="O64" s="273">
        <f t="shared" si="2"/>
        <v>514.79667031999998</v>
      </c>
      <c r="P64" s="2"/>
    </row>
    <row r="65" spans="1:16">
      <c r="A65" s="254"/>
      <c r="B65" s="35" t="s">
        <v>285</v>
      </c>
      <c r="C65" s="252">
        <f>SUM(C66:C70)</f>
        <v>-37.195573461000038</v>
      </c>
      <c r="D65" s="250">
        <f>SUM(D66:D70)</f>
        <v>-20.512111220000008</v>
      </c>
      <c r="E65" s="250">
        <f t="shared" ref="E65:N65" si="18">SUM(E66:E70)</f>
        <v>-60.456231970000047</v>
      </c>
      <c r="F65" s="250">
        <f t="shared" si="18"/>
        <v>-21.102412838111015</v>
      </c>
      <c r="G65" s="250">
        <f t="shared" si="18"/>
        <v>-11.132398350000074</v>
      </c>
      <c r="H65" s="250">
        <f t="shared" si="18"/>
        <v>-34.957468229999769</v>
      </c>
      <c r="I65" s="250">
        <f t="shared" si="18"/>
        <v>-73.889209949999923</v>
      </c>
      <c r="J65" s="250">
        <f t="shared" si="18"/>
        <v>-22.360711299999977</v>
      </c>
      <c r="K65" s="250">
        <f t="shared" si="18"/>
        <v>-49.284550688999957</v>
      </c>
      <c r="L65" s="250">
        <f t="shared" si="18"/>
        <v>-51.103132989999864</v>
      </c>
      <c r="M65" s="250">
        <f t="shared" si="18"/>
        <v>-47.429848889999853</v>
      </c>
      <c r="N65" s="251">
        <f t="shared" si="18"/>
        <v>-84.51068120000005</v>
      </c>
      <c r="O65" s="273">
        <f t="shared" si="2"/>
        <v>-513.93433108811064</v>
      </c>
      <c r="P65" s="2"/>
    </row>
    <row r="66" spans="1:16">
      <c r="A66" s="254"/>
      <c r="B66" s="265" t="s">
        <v>286</v>
      </c>
      <c r="C66" s="252"/>
      <c r="D66" s="250"/>
      <c r="E66" s="250"/>
      <c r="F66" s="250"/>
      <c r="G66" s="250"/>
      <c r="H66" s="250"/>
      <c r="I66" s="250"/>
      <c r="J66" s="250"/>
      <c r="K66" s="250"/>
      <c r="L66" s="250"/>
      <c r="M66" s="250"/>
      <c r="N66" s="251"/>
      <c r="O66" s="273">
        <f t="shared" si="2"/>
        <v>0</v>
      </c>
      <c r="P66" s="2"/>
    </row>
    <row r="67" spans="1:16">
      <c r="A67" s="254"/>
      <c r="B67" s="265" t="s">
        <v>287</v>
      </c>
      <c r="C67" s="252"/>
      <c r="D67" s="250"/>
      <c r="E67" s="250"/>
      <c r="F67" s="250"/>
      <c r="G67" s="250"/>
      <c r="H67" s="250"/>
      <c r="I67" s="250"/>
      <c r="J67" s="250"/>
      <c r="K67" s="250"/>
      <c r="L67" s="250"/>
      <c r="M67" s="250"/>
      <c r="N67" s="251"/>
      <c r="O67" s="273">
        <f t="shared" si="2"/>
        <v>0</v>
      </c>
      <c r="P67" s="2"/>
    </row>
    <row r="68" spans="1:16">
      <c r="A68" s="254"/>
      <c r="B68" s="265" t="s">
        <v>288</v>
      </c>
      <c r="C68" s="252"/>
      <c r="D68" s="250"/>
      <c r="E68" s="250"/>
      <c r="F68" s="250"/>
      <c r="G68" s="250"/>
      <c r="H68" s="250"/>
      <c r="I68" s="250"/>
      <c r="J68" s="250"/>
      <c r="K68" s="250"/>
      <c r="L68" s="250"/>
      <c r="M68" s="250"/>
      <c r="N68" s="251"/>
      <c r="O68" s="273">
        <f t="shared" si="2"/>
        <v>0</v>
      </c>
      <c r="P68" s="2"/>
    </row>
    <row r="69" spans="1:16">
      <c r="A69" s="254"/>
      <c r="B69" s="265" t="s">
        <v>289</v>
      </c>
      <c r="C69" s="252">
        <v>-37.50381462</v>
      </c>
      <c r="D69" s="250">
        <v>-37.728358950000001</v>
      </c>
      <c r="E69" s="250">
        <v>-37.86953158</v>
      </c>
      <c r="F69" s="250">
        <v>-37.854791589999998</v>
      </c>
      <c r="G69" s="250">
        <v>-38.1664174</v>
      </c>
      <c r="H69" s="250">
        <v>-38.324127879999999</v>
      </c>
      <c r="I69" s="250">
        <v>-38.823045469999997</v>
      </c>
      <c r="J69" s="250">
        <v>-38.705197300000002</v>
      </c>
      <c r="K69" s="250">
        <v>-38.000860720000006</v>
      </c>
      <c r="L69" s="250">
        <v>-38.922762169999999</v>
      </c>
      <c r="M69" s="250">
        <v>-43.50311773</v>
      </c>
      <c r="N69" s="251">
        <v>-59.808202219999998</v>
      </c>
      <c r="O69" s="273">
        <f t="shared" si="2"/>
        <v>-485.21022762999996</v>
      </c>
      <c r="P69" s="2"/>
    </row>
    <row r="70" spans="1:16">
      <c r="A70" s="254"/>
      <c r="B70" s="265" t="s">
        <v>285</v>
      </c>
      <c r="C70" s="252">
        <v>0.30824115899996229</v>
      </c>
      <c r="D70" s="250">
        <v>17.216247729999992</v>
      </c>
      <c r="E70" s="250">
        <v>-22.586700390000047</v>
      </c>
      <c r="F70" s="250">
        <v>16.752378751888983</v>
      </c>
      <c r="G70" s="250">
        <v>27.034019049999927</v>
      </c>
      <c r="H70" s="250">
        <v>3.3666596500002299</v>
      </c>
      <c r="I70" s="250">
        <v>-35.066164479999927</v>
      </c>
      <c r="J70" s="250">
        <v>16.344486000000025</v>
      </c>
      <c r="K70" s="250">
        <v>-11.283689968999951</v>
      </c>
      <c r="L70" s="250">
        <v>-12.180370819999865</v>
      </c>
      <c r="M70" s="250">
        <v>-3.9267311599998536</v>
      </c>
      <c r="N70" s="251">
        <v>-24.702478980000052</v>
      </c>
      <c r="O70" s="273">
        <f t="shared" si="2"/>
        <v>-28.724103458110577</v>
      </c>
      <c r="P70" s="2"/>
    </row>
    <row r="71" spans="1:16" ht="24.95" customHeight="1">
      <c r="A71" s="254"/>
      <c r="B71" s="25" t="s">
        <v>290</v>
      </c>
      <c r="C71" s="244">
        <f>-C48-C51-C54</f>
        <v>0</v>
      </c>
      <c r="D71" s="245">
        <f>-D48-D51-D54</f>
        <v>0</v>
      </c>
      <c r="E71" s="245">
        <f t="shared" ref="E71:N71" si="19">-E48-E51-E54</f>
        <v>0</v>
      </c>
      <c r="F71" s="245">
        <f t="shared" si="19"/>
        <v>0</v>
      </c>
      <c r="G71" s="245">
        <f t="shared" si="19"/>
        <v>0</v>
      </c>
      <c r="H71" s="245">
        <f t="shared" si="19"/>
        <v>0</v>
      </c>
      <c r="I71" s="245">
        <f t="shared" si="19"/>
        <v>0</v>
      </c>
      <c r="J71" s="245">
        <f t="shared" si="19"/>
        <v>0</v>
      </c>
      <c r="K71" s="245">
        <f t="shared" si="19"/>
        <v>0</v>
      </c>
      <c r="L71" s="245">
        <f t="shared" si="19"/>
        <v>0</v>
      </c>
      <c r="M71" s="245">
        <f t="shared" si="19"/>
        <v>0</v>
      </c>
      <c r="N71" s="247">
        <f t="shared" si="19"/>
        <v>-1.8743451500000674</v>
      </c>
      <c r="O71" s="271">
        <f t="shared" si="2"/>
        <v>-1.8743451500000674</v>
      </c>
      <c r="P71" s="2"/>
    </row>
    <row r="72" spans="1:16">
      <c r="A72" s="254"/>
      <c r="B72" s="42"/>
      <c r="C72" s="252"/>
      <c r="D72" s="250"/>
      <c r="E72" s="250"/>
      <c r="F72" s="250"/>
      <c r="G72" s="250"/>
      <c r="H72" s="250"/>
      <c r="I72" s="250"/>
      <c r="J72" s="250"/>
      <c r="K72" s="250"/>
      <c r="L72" s="250"/>
      <c r="M72" s="250"/>
      <c r="N72" s="251"/>
      <c r="O72" s="273"/>
      <c r="P72" s="2"/>
    </row>
    <row r="73" spans="1:16" ht="24.95" customHeight="1">
      <c r="A73" s="254"/>
      <c r="B73" s="25" t="s">
        <v>291</v>
      </c>
      <c r="C73" s="244">
        <v>37.50381462</v>
      </c>
      <c r="D73" s="245">
        <v>37.728358950000001</v>
      </c>
      <c r="E73" s="245">
        <v>37.86953158</v>
      </c>
      <c r="F73" s="245">
        <v>37.854791589999998</v>
      </c>
      <c r="G73" s="245">
        <v>38.1664174</v>
      </c>
      <c r="H73" s="245">
        <v>38.324127879999999</v>
      </c>
      <c r="I73" s="245">
        <v>38.823045469999997</v>
      </c>
      <c r="J73" s="245">
        <v>38.705197300000002</v>
      </c>
      <c r="K73" s="245">
        <v>38.000860720000006</v>
      </c>
      <c r="L73" s="245">
        <v>38.922762169999999</v>
      </c>
      <c r="M73" s="245">
        <v>43.50311773</v>
      </c>
      <c r="N73" s="247">
        <v>59.808202219999998</v>
      </c>
      <c r="O73" s="271">
        <f>SUM(C73:N73)</f>
        <v>485.21022762999996</v>
      </c>
      <c r="P73" s="2"/>
    </row>
    <row r="74" spans="1:16" ht="24.95" customHeight="1">
      <c r="A74" s="254"/>
      <c r="B74" s="25" t="s">
        <v>292</v>
      </c>
      <c r="C74" s="252"/>
      <c r="D74" s="250"/>
      <c r="E74" s="250"/>
      <c r="F74" s="250"/>
      <c r="G74" s="250"/>
      <c r="H74" s="250"/>
      <c r="I74" s="250"/>
      <c r="J74" s="250"/>
      <c r="K74" s="250"/>
      <c r="L74" s="250"/>
      <c r="M74" s="250"/>
      <c r="N74" s="251"/>
      <c r="O74" s="273">
        <f>SUM(C74:N74)</f>
        <v>0</v>
      </c>
      <c r="P74" s="2"/>
    </row>
    <row r="75" spans="1:16" ht="24.95" customHeight="1">
      <c r="A75" s="254"/>
      <c r="B75" s="38" t="s">
        <v>56</v>
      </c>
      <c r="C75" s="285"/>
      <c r="D75" s="286"/>
      <c r="E75" s="286"/>
      <c r="F75" s="286"/>
      <c r="G75" s="286"/>
      <c r="H75" s="286"/>
      <c r="I75" s="286"/>
      <c r="J75" s="286"/>
      <c r="K75" s="286"/>
      <c r="L75" s="286"/>
      <c r="M75" s="286"/>
      <c r="N75" s="287"/>
      <c r="O75" s="284">
        <v>23438.240000000002</v>
      </c>
      <c r="P75" s="2"/>
    </row>
    <row r="76" spans="1:16" ht="6" customHeight="1">
      <c r="B76" s="2"/>
      <c r="C76" s="268"/>
      <c r="D76" s="268"/>
      <c r="E76" s="268"/>
      <c r="F76" s="268"/>
      <c r="G76" s="268"/>
      <c r="H76" s="268"/>
      <c r="I76" s="268"/>
      <c r="J76" s="268"/>
      <c r="K76" s="268"/>
      <c r="L76" s="268"/>
      <c r="M76" s="268"/>
      <c r="N76" s="268"/>
      <c r="O76" s="2"/>
      <c r="P76" s="2"/>
    </row>
    <row r="77" spans="1:16">
      <c r="B77" s="2" t="s">
        <v>293</v>
      </c>
      <c r="C77" s="268"/>
      <c r="D77" s="268"/>
      <c r="E77" s="268"/>
      <c r="F77" s="268"/>
      <c r="G77" s="268"/>
      <c r="H77" s="268"/>
      <c r="I77" s="268"/>
      <c r="J77" s="268"/>
      <c r="K77" s="268"/>
      <c r="L77" s="268"/>
      <c r="M77" s="268"/>
      <c r="N77" s="268"/>
      <c r="O77" s="2"/>
      <c r="P77" s="2"/>
    </row>
    <row r="78" spans="1:16">
      <c r="B78" s="2"/>
      <c r="C78" s="2"/>
      <c r="D78" s="2"/>
      <c r="E78" s="2"/>
      <c r="F78" s="2"/>
      <c r="G78" s="2"/>
      <c r="H78" s="2"/>
      <c r="I78" s="2"/>
      <c r="J78" s="2"/>
      <c r="K78" s="2"/>
      <c r="L78" s="2"/>
      <c r="M78" s="2"/>
      <c r="N78" s="2"/>
      <c r="O78" s="2"/>
      <c r="P78" s="2"/>
    </row>
  </sheetData>
  <printOptions horizontalCentered="1"/>
  <pageMargins left="0.7" right="0.7" top="0.75" bottom="0.75" header="0.3" footer="0.3"/>
  <pageSetup scale="40" orientation="landscape" r:id="rId1"/>
  <ignoredErrors>
    <ignoredError sqref="C9:N9"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P81"/>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 min="18" max="18" width="13.7109375" bestFit="1" customWidth="1"/>
  </cols>
  <sheetData>
    <row r="2" spans="2:16">
      <c r="B2" s="234" t="s">
        <v>18</v>
      </c>
      <c r="C2" s="2"/>
      <c r="D2" s="2"/>
      <c r="E2" s="2"/>
      <c r="F2" s="2"/>
      <c r="G2" s="2"/>
      <c r="H2" s="268"/>
      <c r="I2" s="268"/>
      <c r="J2" s="268"/>
      <c r="K2" s="268"/>
      <c r="L2" s="268"/>
      <c r="M2" s="268"/>
      <c r="N2" s="268"/>
      <c r="O2" s="268"/>
      <c r="P2" s="268"/>
    </row>
    <row r="3" spans="2:16">
      <c r="B3" s="234" t="s">
        <v>565</v>
      </c>
      <c r="C3" s="2"/>
      <c r="D3" s="2"/>
      <c r="E3" s="2"/>
      <c r="F3" s="2"/>
      <c r="G3" s="2"/>
      <c r="H3" s="268"/>
      <c r="I3" s="268"/>
      <c r="J3" s="268"/>
      <c r="K3" s="268"/>
      <c r="L3" s="268"/>
      <c r="M3" s="268"/>
      <c r="N3" s="268"/>
      <c r="O3" s="268"/>
      <c r="P3" s="268"/>
    </row>
    <row r="4" spans="2:16">
      <c r="B4" s="234" t="s">
        <v>19</v>
      </c>
      <c r="C4" s="2"/>
      <c r="D4" s="2"/>
      <c r="E4" s="2"/>
      <c r="F4" s="2"/>
      <c r="G4" s="2"/>
      <c r="H4" s="2"/>
      <c r="I4" s="2"/>
      <c r="J4" s="2"/>
      <c r="K4" s="2"/>
      <c r="L4" s="2"/>
      <c r="M4" s="2"/>
      <c r="N4" s="2"/>
      <c r="O4" s="2"/>
      <c r="P4" s="2"/>
    </row>
    <row r="5" spans="2:16" ht="6" customHeight="1">
      <c r="B5" s="2"/>
      <c r="C5" s="2"/>
      <c r="D5" s="2"/>
      <c r="E5" s="2"/>
      <c r="F5" s="2"/>
      <c r="G5" s="2"/>
      <c r="H5" s="2"/>
      <c r="I5" s="2"/>
      <c r="J5" s="2"/>
      <c r="K5" s="2"/>
      <c r="L5" s="2"/>
      <c r="M5" s="2"/>
      <c r="N5" s="2"/>
      <c r="O5" s="2"/>
      <c r="P5" s="2"/>
    </row>
    <row r="6" spans="2:16"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309</v>
      </c>
      <c r="P6" s="2"/>
    </row>
    <row r="7" spans="2:16" ht="6" customHeight="1">
      <c r="B7" s="240"/>
      <c r="C7" s="240"/>
      <c r="D7" s="241"/>
      <c r="E7" s="241"/>
      <c r="F7" s="241"/>
      <c r="G7" s="241"/>
      <c r="H7" s="241"/>
      <c r="I7" s="241"/>
      <c r="J7" s="241"/>
      <c r="K7" s="241"/>
      <c r="L7" s="241"/>
      <c r="M7" s="241"/>
      <c r="N7" s="269"/>
      <c r="O7" s="269"/>
      <c r="P7" s="2"/>
    </row>
    <row r="8" spans="2:16" ht="24.95" customHeight="1">
      <c r="B8" s="25" t="s">
        <v>239</v>
      </c>
      <c r="C8" s="270">
        <f>C9+C13+C14</f>
        <v>399.04848754</v>
      </c>
      <c r="D8" s="246">
        <f>+D9+D13+D14</f>
        <v>313.90484571000007</v>
      </c>
      <c r="E8" s="246">
        <f t="shared" ref="E8:N8" si="0">+E9+E13+E14</f>
        <v>338.43437138000007</v>
      </c>
      <c r="F8" s="246">
        <f t="shared" si="0"/>
        <v>598.02189954000016</v>
      </c>
      <c r="G8" s="246">
        <f t="shared" si="0"/>
        <v>434.80154380000005</v>
      </c>
      <c r="H8" s="246">
        <f t="shared" si="0"/>
        <v>333.93495673000001</v>
      </c>
      <c r="I8" s="246">
        <f t="shared" si="0"/>
        <v>343.14906725000003</v>
      </c>
      <c r="J8" s="246">
        <f t="shared" si="0"/>
        <v>320.26063371000009</v>
      </c>
      <c r="K8" s="246">
        <f t="shared" si="0"/>
        <v>317.80687087000007</v>
      </c>
      <c r="L8" s="246">
        <f t="shared" si="0"/>
        <v>338.56803429000001</v>
      </c>
      <c r="M8" s="246">
        <f t="shared" si="0"/>
        <v>346.29049552000009</v>
      </c>
      <c r="N8" s="271">
        <f t="shared" si="0"/>
        <v>349.35033799999991</v>
      </c>
      <c r="O8" s="271">
        <f>SUM(C8:N8)</f>
        <v>4433.5715443400013</v>
      </c>
      <c r="P8" s="2"/>
    </row>
    <row r="9" spans="2:16" ht="18" customHeight="1">
      <c r="B9" s="272" t="s">
        <v>240</v>
      </c>
      <c r="C9" s="244">
        <f>SUM(C10:C12)</f>
        <v>397.65376279000003</v>
      </c>
      <c r="D9" s="245">
        <f>SUM(D10:D12)</f>
        <v>312.10703799000004</v>
      </c>
      <c r="E9" s="245">
        <f t="shared" ref="E9:N9" si="1">SUM(E10:E12)</f>
        <v>336.47787262000008</v>
      </c>
      <c r="F9" s="245">
        <f t="shared" si="1"/>
        <v>597.04349965000006</v>
      </c>
      <c r="G9" s="245">
        <f t="shared" si="1"/>
        <v>432.82385907000008</v>
      </c>
      <c r="H9" s="245">
        <f t="shared" si="1"/>
        <v>332.23951853</v>
      </c>
      <c r="I9" s="245">
        <f t="shared" si="1"/>
        <v>340.78183110000003</v>
      </c>
      <c r="J9" s="245">
        <f t="shared" si="1"/>
        <v>318.77975957000007</v>
      </c>
      <c r="K9" s="245">
        <f t="shared" si="1"/>
        <v>316.34873371000003</v>
      </c>
      <c r="L9" s="245">
        <f t="shared" si="1"/>
        <v>336.25335933000002</v>
      </c>
      <c r="M9" s="245">
        <f t="shared" si="1"/>
        <v>343.87948128000011</v>
      </c>
      <c r="N9" s="247">
        <f t="shared" si="1"/>
        <v>347.24579999999992</v>
      </c>
      <c r="O9" s="271">
        <f>SUM(C9:N9)</f>
        <v>4411.6345156400002</v>
      </c>
      <c r="P9" s="2"/>
    </row>
    <row r="10" spans="2:16">
      <c r="B10" s="265" t="s">
        <v>241</v>
      </c>
      <c r="C10" s="252">
        <v>384.90385033000001</v>
      </c>
      <c r="D10" s="250">
        <v>300.67889889000003</v>
      </c>
      <c r="E10" s="250">
        <v>319.15738912000006</v>
      </c>
      <c r="F10" s="250">
        <v>583.19444895000004</v>
      </c>
      <c r="G10" s="250">
        <v>415.23252654000004</v>
      </c>
      <c r="H10" s="250">
        <v>319.46003714</v>
      </c>
      <c r="I10" s="250">
        <v>325.90390288000003</v>
      </c>
      <c r="J10" s="250">
        <v>306.11691969000003</v>
      </c>
      <c r="K10" s="250">
        <v>302.32861056000002</v>
      </c>
      <c r="L10" s="250">
        <v>322.79087348000002</v>
      </c>
      <c r="M10" s="250">
        <v>328.4174253700001</v>
      </c>
      <c r="N10" s="251">
        <v>329.80869999999993</v>
      </c>
      <c r="O10" s="273">
        <f>SUM(C10:N10)</f>
        <v>4237.9935829500009</v>
      </c>
      <c r="P10" s="2"/>
    </row>
    <row r="11" spans="2:16">
      <c r="B11" s="265" t="s">
        <v>242</v>
      </c>
      <c r="C11" s="252">
        <v>12.749912460000001</v>
      </c>
      <c r="D11" s="250">
        <v>11.428139099999999</v>
      </c>
      <c r="E11" s="250">
        <v>17.320483500000002</v>
      </c>
      <c r="F11" s="250">
        <v>13.849050700000001</v>
      </c>
      <c r="G11" s="250">
        <v>15.808399519999998</v>
      </c>
      <c r="H11" s="250">
        <v>12.675081390000001</v>
      </c>
      <c r="I11" s="250">
        <v>14.77412822</v>
      </c>
      <c r="J11" s="250">
        <v>12.55533988</v>
      </c>
      <c r="K11" s="250">
        <v>13.91482315</v>
      </c>
      <c r="L11" s="250">
        <v>13.357185850000002</v>
      </c>
      <c r="M11" s="250">
        <v>15.35535591</v>
      </c>
      <c r="N11" s="251">
        <v>17.437100000000001</v>
      </c>
      <c r="O11" s="273">
        <f t="shared" ref="O11:O72" si="2">SUM(C11:N11)</f>
        <v>171.22499968</v>
      </c>
      <c r="P11" s="2"/>
    </row>
    <row r="12" spans="2:16">
      <c r="B12" s="265" t="s">
        <v>243</v>
      </c>
      <c r="C12" s="252">
        <v>0</v>
      </c>
      <c r="D12" s="250">
        <v>0</v>
      </c>
      <c r="E12" s="250">
        <v>0</v>
      </c>
      <c r="F12" s="250">
        <v>0</v>
      </c>
      <c r="G12" s="250">
        <v>1.78293301</v>
      </c>
      <c r="H12" s="250">
        <v>0.10440000000000001</v>
      </c>
      <c r="I12" s="250">
        <v>0.1038</v>
      </c>
      <c r="J12" s="250">
        <v>0.1075</v>
      </c>
      <c r="K12" s="250">
        <v>0.1053</v>
      </c>
      <c r="L12" s="250">
        <v>0.1053</v>
      </c>
      <c r="M12" s="250">
        <v>0.1067</v>
      </c>
      <c r="N12" s="251">
        <v>0</v>
      </c>
      <c r="O12" s="273">
        <f t="shared" si="2"/>
        <v>2.4159330100000003</v>
      </c>
      <c r="P12" s="2"/>
    </row>
    <row r="13" spans="2:16" ht="18" customHeight="1">
      <c r="B13" s="272" t="s">
        <v>244</v>
      </c>
      <c r="C13" s="244">
        <v>0.02</v>
      </c>
      <c r="D13" s="245">
        <v>1.6E-2</v>
      </c>
      <c r="E13" s="245">
        <v>5.0000000000000001E-3</v>
      </c>
      <c r="F13" s="245">
        <v>2.5000000000000001E-3</v>
      </c>
      <c r="G13" s="245">
        <v>7.4248000000000001E-4</v>
      </c>
      <c r="H13" s="245">
        <v>0</v>
      </c>
      <c r="I13" s="245">
        <v>0</v>
      </c>
      <c r="J13" s="245">
        <v>0</v>
      </c>
      <c r="K13" s="245">
        <v>2.526016E-2</v>
      </c>
      <c r="L13" s="245">
        <v>0</v>
      </c>
      <c r="M13" s="245">
        <v>0</v>
      </c>
      <c r="N13" s="247">
        <v>0</v>
      </c>
      <c r="O13" s="271">
        <f t="shared" si="2"/>
        <v>6.9502640000000004E-2</v>
      </c>
      <c r="P13" s="2"/>
    </row>
    <row r="14" spans="2:16" ht="18" customHeight="1">
      <c r="B14" s="272" t="s">
        <v>245</v>
      </c>
      <c r="C14" s="244">
        <v>1.3747247500000004</v>
      </c>
      <c r="D14" s="245">
        <v>1.7818077200000002</v>
      </c>
      <c r="E14" s="245">
        <v>1.95149876</v>
      </c>
      <c r="F14" s="245">
        <v>0.97589988999999999</v>
      </c>
      <c r="G14" s="245">
        <v>1.97694225</v>
      </c>
      <c r="H14" s="245">
        <v>1.6954382000000001</v>
      </c>
      <c r="I14" s="245">
        <v>2.3672361500000001</v>
      </c>
      <c r="J14" s="245">
        <v>1.4808741399999998</v>
      </c>
      <c r="K14" s="245">
        <v>1.432877</v>
      </c>
      <c r="L14" s="245">
        <v>2.3146749599999996</v>
      </c>
      <c r="M14" s="245">
        <v>2.4110142399999996</v>
      </c>
      <c r="N14" s="247">
        <v>2.1045380000000002</v>
      </c>
      <c r="O14" s="271">
        <f t="shared" si="2"/>
        <v>21.867526059999999</v>
      </c>
      <c r="P14" s="2"/>
    </row>
    <row r="15" spans="2:16" ht="24.95" customHeight="1">
      <c r="B15" s="25" t="s">
        <v>246</v>
      </c>
      <c r="C15" s="244">
        <f>+C16+C30+C41</f>
        <v>408.10769169999998</v>
      </c>
      <c r="D15" s="245">
        <f>+D16+D30+D41</f>
        <v>314.93125705</v>
      </c>
      <c r="E15" s="245">
        <f t="shared" ref="E15:N15" si="3">+E16+E30+E41</f>
        <v>345.63885417500001</v>
      </c>
      <c r="F15" s="245">
        <f t="shared" si="3"/>
        <v>385.00831456999998</v>
      </c>
      <c r="G15" s="245">
        <f t="shared" si="3"/>
        <v>440.44360791300011</v>
      </c>
      <c r="H15" s="245">
        <f t="shared" si="3"/>
        <v>393.75699809999998</v>
      </c>
      <c r="I15" s="245">
        <f t="shared" si="3"/>
        <v>396.96306099331997</v>
      </c>
      <c r="J15" s="245">
        <f t="shared" si="3"/>
        <v>335.49637827200002</v>
      </c>
      <c r="K15" s="245">
        <f t="shared" si="3"/>
        <v>360.97108943599994</v>
      </c>
      <c r="L15" s="245">
        <f t="shared" si="3"/>
        <v>310.19498461399996</v>
      </c>
      <c r="M15" s="245">
        <f t="shared" si="3"/>
        <v>325.19399371399999</v>
      </c>
      <c r="N15" s="247">
        <f t="shared" si="3"/>
        <v>600.43932708000011</v>
      </c>
      <c r="O15" s="271">
        <f t="shared" si="2"/>
        <v>4617.1455576173212</v>
      </c>
      <c r="P15" s="2"/>
    </row>
    <row r="16" spans="2:16" ht="18" customHeight="1">
      <c r="B16" s="272" t="s">
        <v>247</v>
      </c>
      <c r="C16" s="244">
        <f>SUM(C17:C20)</f>
        <v>357.90193765999999</v>
      </c>
      <c r="D16" s="245">
        <f>SUM(D17:D20)</f>
        <v>260.61447109</v>
      </c>
      <c r="E16" s="245">
        <f t="shared" ref="E16:N16" si="4">SUM(E17:E20)</f>
        <v>279.82640953200001</v>
      </c>
      <c r="F16" s="245">
        <f t="shared" si="4"/>
        <v>321.30023635999999</v>
      </c>
      <c r="G16" s="245">
        <f t="shared" si="4"/>
        <v>367.18482035500006</v>
      </c>
      <c r="H16" s="245">
        <f t="shared" si="4"/>
        <v>341.80923553999997</v>
      </c>
      <c r="I16" s="245">
        <f t="shared" si="4"/>
        <v>334.49607918999999</v>
      </c>
      <c r="J16" s="245">
        <f t="shared" si="4"/>
        <v>276.73624959199998</v>
      </c>
      <c r="K16" s="245">
        <f t="shared" si="4"/>
        <v>313.52742855899999</v>
      </c>
      <c r="L16" s="245">
        <f t="shared" si="4"/>
        <v>258.74663855</v>
      </c>
      <c r="M16" s="245">
        <f t="shared" si="4"/>
        <v>264.53648476000001</v>
      </c>
      <c r="N16" s="247">
        <f t="shared" si="4"/>
        <v>514.51062033000005</v>
      </c>
      <c r="O16" s="271">
        <f t="shared" si="2"/>
        <v>3891.1906115180004</v>
      </c>
      <c r="P16" s="2"/>
    </row>
    <row r="17" spans="2:16">
      <c r="B17" s="265" t="s">
        <v>136</v>
      </c>
      <c r="C17" s="252">
        <v>118.47640092</v>
      </c>
      <c r="D17" s="250">
        <v>123.80790643</v>
      </c>
      <c r="E17" s="250">
        <v>127.07461230000001</v>
      </c>
      <c r="F17" s="250">
        <v>129.30803969999999</v>
      </c>
      <c r="G17" s="250">
        <v>119.96229314</v>
      </c>
      <c r="H17" s="250">
        <v>138.76268998999998</v>
      </c>
      <c r="I17" s="250">
        <v>128.44656409000001</v>
      </c>
      <c r="J17" s="250">
        <v>127.80463437</v>
      </c>
      <c r="K17" s="250">
        <v>120.46839428999999</v>
      </c>
      <c r="L17" s="250">
        <v>119.65451265</v>
      </c>
      <c r="M17" s="250">
        <v>120.32767529</v>
      </c>
      <c r="N17" s="251">
        <v>193.31815635000001</v>
      </c>
      <c r="O17" s="273">
        <f t="shared" si="2"/>
        <v>1567.41187952</v>
      </c>
      <c r="P17" s="2"/>
    </row>
    <row r="18" spans="2:16">
      <c r="B18" s="265" t="s">
        <v>248</v>
      </c>
      <c r="C18" s="252">
        <v>26.547907519999995</v>
      </c>
      <c r="D18" s="250">
        <v>39.369135589999992</v>
      </c>
      <c r="E18" s="250">
        <v>40.91913194</v>
      </c>
      <c r="F18" s="250">
        <v>49.649632570000001</v>
      </c>
      <c r="G18" s="250">
        <v>77.685290809999998</v>
      </c>
      <c r="H18" s="250">
        <v>42.371628049999998</v>
      </c>
      <c r="I18" s="250">
        <v>11.89356834</v>
      </c>
      <c r="J18" s="250">
        <v>37.485290808999991</v>
      </c>
      <c r="K18" s="250">
        <v>47.957696130000002</v>
      </c>
      <c r="L18" s="250">
        <v>27.232538569999996</v>
      </c>
      <c r="M18" s="250">
        <v>26.92598637</v>
      </c>
      <c r="N18" s="251">
        <v>134.27910842</v>
      </c>
      <c r="O18" s="273">
        <f t="shared" si="2"/>
        <v>562.31691511899987</v>
      </c>
      <c r="P18" s="2"/>
    </row>
    <row r="19" spans="2:16">
      <c r="B19" s="265" t="s">
        <v>249</v>
      </c>
      <c r="C19" s="252">
        <v>131.49560968</v>
      </c>
      <c r="D19" s="250">
        <v>23.74253646</v>
      </c>
      <c r="E19" s="250">
        <v>24.295465839999999</v>
      </c>
      <c r="F19" s="250">
        <v>54.057038349999999</v>
      </c>
      <c r="G19" s="250">
        <v>41.362497019999999</v>
      </c>
      <c r="H19" s="250">
        <v>67.488167470000008</v>
      </c>
      <c r="I19" s="250">
        <v>127.38510751999999</v>
      </c>
      <c r="J19" s="250">
        <v>24.805743730000003</v>
      </c>
      <c r="K19" s="250">
        <v>25.94415991</v>
      </c>
      <c r="L19" s="250">
        <v>33.160872249999997</v>
      </c>
      <c r="M19" s="250">
        <v>41.357359810000005</v>
      </c>
      <c r="N19" s="251">
        <v>60.718875799999992</v>
      </c>
      <c r="O19" s="273">
        <f t="shared" si="2"/>
        <v>655.81343384000013</v>
      </c>
      <c r="P19" s="2"/>
    </row>
    <row r="20" spans="2:16">
      <c r="B20" s="265" t="s">
        <v>250</v>
      </c>
      <c r="C20" s="252">
        <f>SUM(C21:C29)</f>
        <v>81.382019540000002</v>
      </c>
      <c r="D20" s="250">
        <f>SUM(D21:D29)</f>
        <v>73.694892609999997</v>
      </c>
      <c r="E20" s="250">
        <f t="shared" ref="E20:M20" si="5">SUM(E21:E29)</f>
        <v>87.537199451999996</v>
      </c>
      <c r="F20" s="250">
        <f t="shared" si="5"/>
        <v>88.285525739999997</v>
      </c>
      <c r="G20" s="250">
        <f t="shared" si="5"/>
        <v>128.17473938500001</v>
      </c>
      <c r="H20" s="250">
        <f t="shared" si="5"/>
        <v>93.186750029999985</v>
      </c>
      <c r="I20" s="250">
        <f t="shared" si="5"/>
        <v>66.770839240000001</v>
      </c>
      <c r="J20" s="250">
        <f t="shared" si="5"/>
        <v>86.640580682999982</v>
      </c>
      <c r="K20" s="250">
        <f t="shared" si="5"/>
        <v>119.15717822899998</v>
      </c>
      <c r="L20" s="250">
        <f t="shared" si="5"/>
        <v>78.698715079999985</v>
      </c>
      <c r="M20" s="250">
        <f t="shared" si="5"/>
        <v>75.925463289999996</v>
      </c>
      <c r="N20" s="251">
        <f>SUM(N21:N29)</f>
        <v>126.19447975999999</v>
      </c>
      <c r="O20" s="273">
        <f t="shared" si="2"/>
        <v>1105.648383039</v>
      </c>
      <c r="P20" s="2"/>
    </row>
    <row r="21" spans="2:16">
      <c r="B21" s="274" t="s">
        <v>251</v>
      </c>
      <c r="C21" s="252">
        <v>50.889035150000005</v>
      </c>
      <c r="D21" s="250">
        <v>56.009613079999994</v>
      </c>
      <c r="E21" s="250">
        <v>53.886306561999994</v>
      </c>
      <c r="F21" s="250">
        <v>53.935282860000008</v>
      </c>
      <c r="G21" s="250">
        <v>69.668027705</v>
      </c>
      <c r="H21" s="250">
        <v>49.814823809999979</v>
      </c>
      <c r="I21" s="250">
        <v>45.121085740000005</v>
      </c>
      <c r="J21" s="250">
        <v>49.056902112999992</v>
      </c>
      <c r="K21" s="250">
        <v>58.224986600999983</v>
      </c>
      <c r="L21" s="250">
        <v>48.454469329999988</v>
      </c>
      <c r="M21" s="250">
        <v>47.723035049999993</v>
      </c>
      <c r="N21" s="251">
        <v>81.922593069999991</v>
      </c>
      <c r="O21" s="273">
        <f t="shared" si="2"/>
        <v>664.70616107099977</v>
      </c>
      <c r="P21" s="2"/>
    </row>
    <row r="22" spans="2:16">
      <c r="B22" s="274" t="s">
        <v>252</v>
      </c>
      <c r="C22" s="252">
        <v>0</v>
      </c>
      <c r="D22" s="250">
        <v>0</v>
      </c>
      <c r="E22" s="250">
        <v>0</v>
      </c>
      <c r="F22" s="250">
        <v>0</v>
      </c>
      <c r="G22" s="250">
        <v>0</v>
      </c>
      <c r="H22" s="250">
        <v>0</v>
      </c>
      <c r="I22" s="250">
        <v>0</v>
      </c>
      <c r="J22" s="250">
        <v>0</v>
      </c>
      <c r="K22" s="250">
        <v>0</v>
      </c>
      <c r="L22" s="250">
        <v>0</v>
      </c>
      <c r="M22" s="250">
        <v>0</v>
      </c>
      <c r="N22" s="251">
        <v>0</v>
      </c>
      <c r="O22" s="273">
        <f t="shared" si="2"/>
        <v>0</v>
      </c>
      <c r="P22" s="2"/>
    </row>
    <row r="23" spans="2:16">
      <c r="B23" s="274" t="s">
        <v>253</v>
      </c>
      <c r="C23" s="252">
        <v>0.36608404999999999</v>
      </c>
      <c r="D23" s="250">
        <v>0.45792500000000003</v>
      </c>
      <c r="E23" s="250">
        <v>0.68330000000000002</v>
      </c>
      <c r="F23" s="250">
        <v>0.6431</v>
      </c>
      <c r="G23" s="250">
        <v>0.58610677</v>
      </c>
      <c r="H23" s="250">
        <v>0.60759688999999995</v>
      </c>
      <c r="I23" s="250">
        <v>0.61263850000000009</v>
      </c>
      <c r="J23" s="250">
        <v>0.63264914999999999</v>
      </c>
      <c r="K23" s="250">
        <v>0.59533287999999995</v>
      </c>
      <c r="L23" s="250">
        <v>0.58373980000000003</v>
      </c>
      <c r="M23" s="250">
        <v>0.80746065</v>
      </c>
      <c r="N23" s="251">
        <v>0.62738148999999999</v>
      </c>
      <c r="O23" s="273">
        <f t="shared" si="2"/>
        <v>7.2033151800000006</v>
      </c>
      <c r="P23" s="2"/>
    </row>
    <row r="24" spans="2:16">
      <c r="B24" s="274" t="s">
        <v>254</v>
      </c>
      <c r="C24" s="252">
        <v>23.041371939999998</v>
      </c>
      <c r="D24" s="250">
        <v>13.53681752</v>
      </c>
      <c r="E24" s="250">
        <v>26.800223989999999</v>
      </c>
      <c r="F24" s="250">
        <v>24.372555189999996</v>
      </c>
      <c r="G24" s="250">
        <v>45.800286650000004</v>
      </c>
      <c r="H24" s="250">
        <v>35.11700329</v>
      </c>
      <c r="I24" s="250">
        <v>13.978171249999999</v>
      </c>
      <c r="J24" s="250">
        <v>30.49870018</v>
      </c>
      <c r="K24" s="250">
        <v>52.728250887999998</v>
      </c>
      <c r="L24" s="250">
        <v>22.949748810000003</v>
      </c>
      <c r="M24" s="250">
        <v>22.085964000000004</v>
      </c>
      <c r="N24" s="251">
        <v>37.206725200000001</v>
      </c>
      <c r="O24" s="273">
        <f t="shared" si="2"/>
        <v>348.11581890799999</v>
      </c>
      <c r="P24" s="2"/>
    </row>
    <row r="25" spans="2:16">
      <c r="B25" s="274" t="s">
        <v>255</v>
      </c>
      <c r="C25" s="252">
        <v>2.5394619999999999</v>
      </c>
      <c r="D25" s="250">
        <v>0.03</v>
      </c>
      <c r="E25" s="250">
        <v>1.0900165799999999</v>
      </c>
      <c r="F25" s="250">
        <v>5.1748799999999998E-3</v>
      </c>
      <c r="G25" s="250">
        <v>1.11924921</v>
      </c>
      <c r="H25" s="250">
        <v>1.3456967500000001</v>
      </c>
      <c r="I25" s="250">
        <v>2.5</v>
      </c>
      <c r="J25" s="250">
        <v>0</v>
      </c>
      <c r="K25" s="250">
        <v>1.15133964</v>
      </c>
      <c r="L25" s="250">
        <v>0</v>
      </c>
      <c r="M25" s="250">
        <v>0.35416667000000002</v>
      </c>
      <c r="N25" s="251">
        <v>0.02</v>
      </c>
      <c r="O25" s="273">
        <f t="shared" si="2"/>
        <v>10.155105729999999</v>
      </c>
      <c r="P25" s="2"/>
    </row>
    <row r="26" spans="2:16">
      <c r="B26" s="274" t="s">
        <v>256</v>
      </c>
      <c r="C26" s="252">
        <v>0.33973999999999999</v>
      </c>
      <c r="D26" s="250">
        <v>0.33765000000000001</v>
      </c>
      <c r="E26" s="250">
        <v>0.40978999999999999</v>
      </c>
      <c r="F26" s="250">
        <v>0.36330000000000001</v>
      </c>
      <c r="G26" s="250">
        <v>0.35211999999999999</v>
      </c>
      <c r="H26" s="250">
        <v>0.28931400000000002</v>
      </c>
      <c r="I26" s="250">
        <v>0.387185</v>
      </c>
      <c r="J26" s="250">
        <v>0.36677500000000002</v>
      </c>
      <c r="K26" s="250">
        <v>0.28483399999999998</v>
      </c>
      <c r="L26" s="250">
        <v>0.34832999999999997</v>
      </c>
      <c r="M26" s="250">
        <v>0.34333000000000002</v>
      </c>
      <c r="N26" s="251">
        <v>0.44108000000000003</v>
      </c>
      <c r="O26" s="273">
        <f t="shared" si="2"/>
        <v>4.2634480000000003</v>
      </c>
      <c r="P26" s="2"/>
    </row>
    <row r="27" spans="2:16">
      <c r="B27" s="274" t="s">
        <v>257</v>
      </c>
      <c r="C27" s="252"/>
      <c r="D27" s="250"/>
      <c r="E27" s="250"/>
      <c r="F27" s="250"/>
      <c r="G27" s="250"/>
      <c r="H27" s="250"/>
      <c r="I27" s="250"/>
      <c r="J27" s="250"/>
      <c r="K27" s="250"/>
      <c r="L27" s="250"/>
      <c r="M27" s="250"/>
      <c r="N27" s="251"/>
      <c r="O27" s="273">
        <f t="shared" si="2"/>
        <v>0</v>
      </c>
      <c r="P27" s="2"/>
    </row>
    <row r="28" spans="2:16">
      <c r="B28" s="274" t="s">
        <v>258</v>
      </c>
      <c r="C28" s="252">
        <v>1.60737709</v>
      </c>
      <c r="D28" s="250">
        <v>0</v>
      </c>
      <c r="E28" s="250">
        <v>0</v>
      </c>
      <c r="F28" s="250">
        <v>0</v>
      </c>
      <c r="G28" s="250">
        <v>4.2961676500000001</v>
      </c>
      <c r="H28" s="250">
        <v>1.7392461100000001</v>
      </c>
      <c r="I28" s="250">
        <v>0</v>
      </c>
      <c r="J28" s="250">
        <v>1.8839999999999999</v>
      </c>
      <c r="K28" s="250">
        <v>1.6619446200000001</v>
      </c>
      <c r="L28" s="250">
        <v>1.93061021</v>
      </c>
      <c r="M28" s="250">
        <v>0</v>
      </c>
      <c r="N28" s="251">
        <v>2.5</v>
      </c>
      <c r="O28" s="273">
        <f t="shared" si="2"/>
        <v>15.619345679999999</v>
      </c>
      <c r="P28" s="2"/>
    </row>
    <row r="29" spans="2:16">
      <c r="B29" s="274" t="s">
        <v>627</v>
      </c>
      <c r="C29" s="252">
        <v>2.5989493100000001</v>
      </c>
      <c r="D29" s="250">
        <v>3.3228870100000001</v>
      </c>
      <c r="E29" s="250">
        <v>4.66756232</v>
      </c>
      <c r="F29" s="250">
        <v>8.9661128100000003</v>
      </c>
      <c r="G29" s="250">
        <v>6.3527813999999996</v>
      </c>
      <c r="H29" s="250">
        <v>4.2730691800000002</v>
      </c>
      <c r="I29" s="250">
        <v>4.1717587500000004</v>
      </c>
      <c r="J29" s="250">
        <v>4.2015542399999992</v>
      </c>
      <c r="K29" s="250">
        <v>4.5104895999999997</v>
      </c>
      <c r="L29" s="250">
        <v>4.4318169300000001</v>
      </c>
      <c r="M29" s="250">
        <v>4.6115069200000001</v>
      </c>
      <c r="N29" s="251">
        <v>3.4766999999999997</v>
      </c>
      <c r="O29" s="273">
        <f t="shared" si="2"/>
        <v>55.585188469999999</v>
      </c>
      <c r="P29" s="2"/>
    </row>
    <row r="30" spans="2:16" ht="18" customHeight="1">
      <c r="B30" s="272" t="s">
        <v>259</v>
      </c>
      <c r="C30" s="244">
        <f>SUM(C31:C32)</f>
        <v>50.207369040000003</v>
      </c>
      <c r="D30" s="245">
        <f>SUM(D31:D32)</f>
        <v>54.324446889999997</v>
      </c>
      <c r="E30" s="245">
        <f t="shared" ref="E30:N30" si="6">SUM(E31:E32)</f>
        <v>65.814059642999993</v>
      </c>
      <c r="F30" s="245">
        <f t="shared" si="6"/>
        <v>63.720193210000005</v>
      </c>
      <c r="G30" s="245">
        <f t="shared" si="6"/>
        <v>73.262017557999997</v>
      </c>
      <c r="H30" s="245">
        <f t="shared" si="6"/>
        <v>52.260325510000001</v>
      </c>
      <c r="I30" s="245">
        <f t="shared" si="6"/>
        <v>62.471821803319997</v>
      </c>
      <c r="J30" s="245">
        <f t="shared" si="6"/>
        <v>58.764482109999996</v>
      </c>
      <c r="K30" s="245">
        <f t="shared" si="6"/>
        <v>47.445275877</v>
      </c>
      <c r="L30" s="245">
        <f t="shared" si="6"/>
        <v>51.449961064000007</v>
      </c>
      <c r="M30" s="245">
        <f t="shared" si="6"/>
        <v>60.659123953999995</v>
      </c>
      <c r="N30" s="247">
        <f t="shared" si="6"/>
        <v>86.238923769999985</v>
      </c>
      <c r="O30" s="271">
        <f t="shared" si="2"/>
        <v>726.61800042932009</v>
      </c>
      <c r="P30" s="2"/>
    </row>
    <row r="31" spans="2:16">
      <c r="B31" s="265" t="s">
        <v>260</v>
      </c>
      <c r="C31" s="252">
        <v>3.9361410999999999</v>
      </c>
      <c r="D31" s="250">
        <v>12.878339130000002</v>
      </c>
      <c r="E31" s="250">
        <v>18.291733952999994</v>
      </c>
      <c r="F31" s="250">
        <v>12.933793519999998</v>
      </c>
      <c r="G31" s="250">
        <v>24.046727057999995</v>
      </c>
      <c r="H31" s="250">
        <v>13.842913849999999</v>
      </c>
      <c r="I31" s="250">
        <v>15.23525546332</v>
      </c>
      <c r="J31" s="250">
        <v>9.9186735599999967</v>
      </c>
      <c r="K31" s="250">
        <v>17.468053797</v>
      </c>
      <c r="L31" s="250">
        <v>13.947287144000001</v>
      </c>
      <c r="M31" s="250">
        <v>17.873442203999996</v>
      </c>
      <c r="N31" s="251">
        <v>22.727520379999998</v>
      </c>
      <c r="O31" s="273">
        <f t="shared" si="2"/>
        <v>183.09988115931995</v>
      </c>
      <c r="P31" s="2"/>
    </row>
    <row r="32" spans="2:16">
      <c r="B32" s="265" t="s">
        <v>261</v>
      </c>
      <c r="C32" s="252">
        <f>SUM(C33:C40)</f>
        <v>46.271227940000003</v>
      </c>
      <c r="D32" s="250">
        <f>SUM(D33:D40)</f>
        <v>41.446107759999997</v>
      </c>
      <c r="E32" s="250">
        <f t="shared" ref="E32:N32" si="7">SUM(E33:E40)</f>
        <v>47.522325690000002</v>
      </c>
      <c r="F32" s="250">
        <f t="shared" si="7"/>
        <v>50.786399690000003</v>
      </c>
      <c r="G32" s="250">
        <f t="shared" si="7"/>
        <v>49.215290500000002</v>
      </c>
      <c r="H32" s="250">
        <f t="shared" si="7"/>
        <v>38.417411659999999</v>
      </c>
      <c r="I32" s="250">
        <f t="shared" si="7"/>
        <v>47.236566339999996</v>
      </c>
      <c r="J32" s="250">
        <f t="shared" si="7"/>
        <v>48.845808550000001</v>
      </c>
      <c r="K32" s="250">
        <f t="shared" si="7"/>
        <v>29.977222080000004</v>
      </c>
      <c r="L32" s="250">
        <f t="shared" si="7"/>
        <v>37.502673920000007</v>
      </c>
      <c r="M32" s="250">
        <f t="shared" si="7"/>
        <v>42.785681749999995</v>
      </c>
      <c r="N32" s="251">
        <f t="shared" si="7"/>
        <v>63.511403389999991</v>
      </c>
      <c r="O32" s="273">
        <f t="shared" si="2"/>
        <v>543.51811926999994</v>
      </c>
      <c r="P32" s="2"/>
    </row>
    <row r="33" spans="1:16">
      <c r="B33" s="274" t="s">
        <v>251</v>
      </c>
      <c r="C33" s="252">
        <v>29.587099710000004</v>
      </c>
      <c r="D33" s="250">
        <v>30.352854530000005</v>
      </c>
      <c r="E33" s="250">
        <v>29.89215368</v>
      </c>
      <c r="F33" s="250">
        <v>29.35250521</v>
      </c>
      <c r="G33" s="250">
        <v>29.083275530000002</v>
      </c>
      <c r="H33" s="250">
        <v>29.49987548</v>
      </c>
      <c r="I33" s="250">
        <v>29.326786690000002</v>
      </c>
      <c r="J33" s="250">
        <v>29.202382010000004</v>
      </c>
      <c r="K33" s="250">
        <v>9.2244792000000011</v>
      </c>
      <c r="L33" s="250">
        <v>29.083801520000002</v>
      </c>
      <c r="M33" s="250">
        <v>30.264126649999998</v>
      </c>
      <c r="N33" s="251">
        <v>52.11560094</v>
      </c>
      <c r="O33" s="273">
        <f t="shared" si="2"/>
        <v>356.98494114999994</v>
      </c>
      <c r="P33" s="2"/>
    </row>
    <row r="34" spans="1:16">
      <c r="B34" s="274" t="s">
        <v>252</v>
      </c>
      <c r="C34" s="252">
        <v>0</v>
      </c>
      <c r="D34" s="250">
        <v>0</v>
      </c>
      <c r="E34" s="250">
        <v>0</v>
      </c>
      <c r="F34" s="250">
        <v>0.21412091999999999</v>
      </c>
      <c r="G34" s="250">
        <v>0.30252400000000002</v>
      </c>
      <c r="H34" s="250">
        <v>4.6178999999999998E-2</v>
      </c>
      <c r="I34" s="250">
        <v>8.6683999999999997E-2</v>
      </c>
      <c r="J34" s="250">
        <v>8.1814999999999999E-2</v>
      </c>
      <c r="K34" s="250">
        <v>5.4128000000000003E-2</v>
      </c>
      <c r="L34" s="250">
        <v>2.8760000000000001E-2</v>
      </c>
      <c r="M34" s="250">
        <v>0</v>
      </c>
      <c r="N34" s="251">
        <v>7.0735999999999993E-2</v>
      </c>
      <c r="O34" s="273">
        <f t="shared" si="2"/>
        <v>0.88494691999999997</v>
      </c>
      <c r="P34" s="2"/>
    </row>
    <row r="35" spans="1:16">
      <c r="B35" s="274" t="s">
        <v>253</v>
      </c>
      <c r="C35" s="252">
        <v>0</v>
      </c>
      <c r="D35" s="250">
        <v>0</v>
      </c>
      <c r="E35" s="250">
        <v>0.17499999999999999</v>
      </c>
      <c r="F35" s="250">
        <v>0</v>
      </c>
      <c r="G35" s="250">
        <v>0</v>
      </c>
      <c r="H35" s="250">
        <v>0</v>
      </c>
      <c r="I35" s="250">
        <v>0</v>
      </c>
      <c r="J35" s="250">
        <v>0</v>
      </c>
      <c r="K35" s="250">
        <v>0</v>
      </c>
      <c r="L35" s="250">
        <v>0.27782506000000001</v>
      </c>
      <c r="M35" s="250">
        <v>0</v>
      </c>
      <c r="N35" s="251">
        <v>0</v>
      </c>
      <c r="O35" s="273">
        <f t="shared" si="2"/>
        <v>0.45282506</v>
      </c>
      <c r="P35" s="2"/>
    </row>
    <row r="36" spans="1:16">
      <c r="B36" s="274" t="s">
        <v>262</v>
      </c>
      <c r="C36" s="252">
        <v>3.3844087800000002</v>
      </c>
      <c r="D36" s="250">
        <v>5.3194879300000002</v>
      </c>
      <c r="E36" s="250">
        <v>4.7626523899999995</v>
      </c>
      <c r="F36" s="250">
        <v>2.2081141400000002</v>
      </c>
      <c r="G36" s="250">
        <v>8.11832332</v>
      </c>
      <c r="H36" s="250">
        <v>1.0873533399999999</v>
      </c>
      <c r="I36" s="250">
        <v>7.6176675999999999</v>
      </c>
      <c r="J36" s="250">
        <v>5.5323631799999999</v>
      </c>
      <c r="K36" s="250">
        <v>1.0083531399999999</v>
      </c>
      <c r="L36" s="250">
        <v>1.4879004100000002</v>
      </c>
      <c r="M36" s="250">
        <v>2.8050153099999999</v>
      </c>
      <c r="N36" s="251">
        <v>1.6945208699999998</v>
      </c>
      <c r="O36" s="273">
        <f t="shared" si="2"/>
        <v>45.026160409999996</v>
      </c>
      <c r="P36" s="2"/>
    </row>
    <row r="37" spans="1:16">
      <c r="B37" s="274" t="s">
        <v>263</v>
      </c>
      <c r="C37" s="252">
        <v>0.79725018000000003</v>
      </c>
      <c r="D37" s="250">
        <v>4.1963333499999997</v>
      </c>
      <c r="E37" s="250">
        <v>5.8420847499999997</v>
      </c>
      <c r="F37" s="250">
        <v>5.9155300199999994</v>
      </c>
      <c r="G37" s="250">
        <v>3.4815597</v>
      </c>
      <c r="H37" s="250">
        <v>5.22773076</v>
      </c>
      <c r="I37" s="250">
        <v>3.04946998</v>
      </c>
      <c r="J37" s="250">
        <v>7.2211691499999979</v>
      </c>
      <c r="K37" s="250">
        <v>6.8423724400000001</v>
      </c>
      <c r="L37" s="250">
        <v>5.0365640699999998</v>
      </c>
      <c r="M37" s="250">
        <v>3.1279071300000001</v>
      </c>
      <c r="N37" s="251">
        <v>2.4950140000000003</v>
      </c>
      <c r="O37" s="273">
        <f t="shared" si="2"/>
        <v>53.232985529999986</v>
      </c>
      <c r="P37" s="2"/>
    </row>
    <row r="38" spans="1:16">
      <c r="B38" s="274" t="s">
        <v>264</v>
      </c>
      <c r="C38" s="252">
        <v>0</v>
      </c>
      <c r="D38" s="250">
        <v>0</v>
      </c>
      <c r="E38" s="250">
        <v>0</v>
      </c>
      <c r="F38" s="250">
        <v>0</v>
      </c>
      <c r="G38" s="250">
        <v>0</v>
      </c>
      <c r="H38" s="250">
        <v>0</v>
      </c>
      <c r="I38" s="250">
        <v>0</v>
      </c>
      <c r="J38" s="250">
        <v>0</v>
      </c>
      <c r="K38" s="250">
        <v>0</v>
      </c>
      <c r="L38" s="250">
        <v>0</v>
      </c>
      <c r="M38" s="250">
        <v>0</v>
      </c>
      <c r="N38" s="251">
        <v>0</v>
      </c>
      <c r="O38" s="273">
        <f t="shared" si="2"/>
        <v>0</v>
      </c>
      <c r="P38" s="2"/>
    </row>
    <row r="39" spans="1:16">
      <c r="B39" s="274" t="s">
        <v>265</v>
      </c>
      <c r="C39" s="252">
        <v>0</v>
      </c>
      <c r="D39" s="250">
        <v>0</v>
      </c>
      <c r="E39" s="250">
        <v>0</v>
      </c>
      <c r="F39" s="250">
        <v>0</v>
      </c>
      <c r="G39" s="250">
        <v>0</v>
      </c>
      <c r="H39" s="250">
        <v>0</v>
      </c>
      <c r="I39" s="250">
        <v>0</v>
      </c>
      <c r="J39" s="250">
        <v>0</v>
      </c>
      <c r="K39" s="250">
        <v>0</v>
      </c>
      <c r="L39" s="250">
        <v>0</v>
      </c>
      <c r="M39" s="250">
        <v>0</v>
      </c>
      <c r="N39" s="251">
        <v>0</v>
      </c>
      <c r="O39" s="273">
        <f t="shared" si="2"/>
        <v>0</v>
      </c>
      <c r="P39" s="2"/>
    </row>
    <row r="40" spans="1:16">
      <c r="B40" s="274" t="s">
        <v>266</v>
      </c>
      <c r="C40" s="252">
        <v>12.502469269999999</v>
      </c>
      <c r="D40" s="250">
        <v>1.57743195</v>
      </c>
      <c r="E40" s="250">
        <v>6.85043487</v>
      </c>
      <c r="F40" s="250">
        <v>13.096129400000001</v>
      </c>
      <c r="G40" s="250">
        <v>8.2296079500000001</v>
      </c>
      <c r="H40" s="250">
        <v>2.55627308</v>
      </c>
      <c r="I40" s="250">
        <v>7.1559580699999996</v>
      </c>
      <c r="J40" s="250">
        <v>6.8080792099999998</v>
      </c>
      <c r="K40" s="250">
        <v>12.8478893</v>
      </c>
      <c r="L40" s="250">
        <v>1.5878228599999999</v>
      </c>
      <c r="M40" s="250">
        <v>6.58863266</v>
      </c>
      <c r="N40" s="251">
        <v>7.1355315800000003</v>
      </c>
      <c r="O40" s="273">
        <f t="shared" si="2"/>
        <v>86.936260200000007</v>
      </c>
      <c r="P40" s="2"/>
    </row>
    <row r="41" spans="1:16" ht="18" customHeight="1">
      <c r="B41" s="275" t="s">
        <v>267</v>
      </c>
      <c r="C41" s="257">
        <f>SUM(C42:C46)</f>
        <v>-1.6149999999999999E-3</v>
      </c>
      <c r="D41" s="258">
        <f>SUM(D42:D46)</f>
        <v>-7.6609299999999998E-3</v>
      </c>
      <c r="E41" s="258">
        <f t="shared" ref="E41:N41" si="8">SUM(E42:E46)</f>
        <v>-1.6149999999999999E-3</v>
      </c>
      <c r="F41" s="258">
        <f t="shared" si="8"/>
        <v>-1.2115000000000001E-2</v>
      </c>
      <c r="G41" s="258">
        <f t="shared" si="8"/>
        <v>-3.2299999999999998E-3</v>
      </c>
      <c r="H41" s="258">
        <f t="shared" si="8"/>
        <v>-0.31256295000000001</v>
      </c>
      <c r="I41" s="258">
        <f t="shared" si="8"/>
        <v>-4.8399999999999997E-3</v>
      </c>
      <c r="J41" s="258">
        <f t="shared" si="8"/>
        <v>-4.3534300000000001E-3</v>
      </c>
      <c r="K41" s="258">
        <f t="shared" si="8"/>
        <v>-1.6149999999999999E-3</v>
      </c>
      <c r="L41" s="258">
        <f t="shared" si="8"/>
        <v>-1.6149999999999999E-3</v>
      </c>
      <c r="M41" s="258">
        <f t="shared" si="8"/>
        <v>-1.6149999999999999E-3</v>
      </c>
      <c r="N41" s="259">
        <f t="shared" si="8"/>
        <v>-0.31021702000000001</v>
      </c>
      <c r="O41" s="276">
        <f t="shared" si="2"/>
        <v>-0.66305433000000003</v>
      </c>
      <c r="P41" s="2"/>
    </row>
    <row r="42" spans="1:16">
      <c r="A42" s="254"/>
      <c r="B42" s="265" t="s">
        <v>251</v>
      </c>
      <c r="C42" s="252">
        <v>-1.6149999999999999E-3</v>
      </c>
      <c r="D42" s="250">
        <v>-1.6149999999999999E-3</v>
      </c>
      <c r="E42" s="250">
        <v>-1.6149999999999999E-3</v>
      </c>
      <c r="F42" s="250">
        <v>-1.6149999999999999E-3</v>
      </c>
      <c r="G42" s="250">
        <v>-3.2299999999999998E-3</v>
      </c>
      <c r="H42" s="250">
        <v>0</v>
      </c>
      <c r="I42" s="250">
        <v>-1.6149999999999999E-3</v>
      </c>
      <c r="J42" s="250">
        <v>-8.0749999999999995E-4</v>
      </c>
      <c r="K42" s="250">
        <v>-1.6149999999999999E-3</v>
      </c>
      <c r="L42" s="250">
        <v>-1.6149999999999999E-3</v>
      </c>
      <c r="M42" s="250">
        <v>-1.6149999999999999E-3</v>
      </c>
      <c r="N42" s="251">
        <v>-1.6149999999999999E-3</v>
      </c>
      <c r="O42" s="273">
        <f t="shared" si="2"/>
        <v>-1.8572499999999995E-2</v>
      </c>
      <c r="P42" s="2"/>
    </row>
    <row r="43" spans="1:16">
      <c r="A43" s="254"/>
      <c r="B43" s="265" t="s">
        <v>252</v>
      </c>
      <c r="C43" s="252">
        <v>0</v>
      </c>
      <c r="D43" s="250">
        <v>0</v>
      </c>
      <c r="E43" s="250">
        <v>0</v>
      </c>
      <c r="F43" s="250">
        <v>0</v>
      </c>
      <c r="G43" s="250">
        <v>0</v>
      </c>
      <c r="H43" s="250">
        <v>-8.5000000000000006E-2</v>
      </c>
      <c r="I43" s="250">
        <v>0</v>
      </c>
      <c r="J43" s="250">
        <v>0</v>
      </c>
      <c r="K43" s="250">
        <v>0</v>
      </c>
      <c r="L43" s="250">
        <v>0</v>
      </c>
      <c r="M43" s="250">
        <v>0</v>
      </c>
      <c r="N43" s="251">
        <v>-8.3980239999999998E-2</v>
      </c>
      <c r="O43" s="273">
        <f t="shared" si="2"/>
        <v>-0.16898024</v>
      </c>
      <c r="P43" s="2"/>
    </row>
    <row r="44" spans="1:16">
      <c r="A44" s="254"/>
      <c r="B44" s="265" t="s">
        <v>253</v>
      </c>
      <c r="C44" s="252"/>
      <c r="D44" s="250">
        <v>-6.0459299999999997E-3</v>
      </c>
      <c r="E44" s="250"/>
      <c r="F44" s="250">
        <v>-1.0500000000000001E-2</v>
      </c>
      <c r="G44" s="250"/>
      <c r="H44" s="250"/>
      <c r="I44" s="250">
        <v>-3.225E-3</v>
      </c>
      <c r="J44" s="250">
        <v>-3.5459300000000001E-3</v>
      </c>
      <c r="K44" s="250"/>
      <c r="L44" s="250"/>
      <c r="M44" s="250"/>
      <c r="N44" s="251"/>
      <c r="O44" s="273">
        <f t="shared" si="2"/>
        <v>-2.3316859999999998E-2</v>
      </c>
      <c r="P44" s="2"/>
    </row>
    <row r="45" spans="1:16">
      <c r="A45" s="254"/>
      <c r="B45" s="265" t="s">
        <v>254</v>
      </c>
      <c r="C45" s="252"/>
      <c r="D45" s="250"/>
      <c r="E45" s="250"/>
      <c r="F45" s="250"/>
      <c r="G45" s="250"/>
      <c r="H45" s="250">
        <v>-0.22756295000000001</v>
      </c>
      <c r="I45" s="250"/>
      <c r="J45" s="250"/>
      <c r="K45" s="250"/>
      <c r="L45" s="250"/>
      <c r="M45" s="250"/>
      <c r="N45" s="251">
        <v>-0.22462177999999999</v>
      </c>
      <c r="O45" s="273">
        <f t="shared" si="2"/>
        <v>-0.45218473000000003</v>
      </c>
      <c r="P45" s="2"/>
    </row>
    <row r="46" spans="1:16">
      <c r="A46" s="254"/>
      <c r="B46" s="265" t="s">
        <v>268</v>
      </c>
      <c r="C46" s="252"/>
      <c r="D46" s="250"/>
      <c r="E46" s="250"/>
      <c r="F46" s="250"/>
      <c r="G46" s="250"/>
      <c r="H46" s="250"/>
      <c r="I46" s="250"/>
      <c r="J46" s="250"/>
      <c r="K46" s="250"/>
      <c r="L46" s="250"/>
      <c r="M46" s="250"/>
      <c r="N46" s="251"/>
      <c r="O46" s="273">
        <f t="shared" si="2"/>
        <v>0</v>
      </c>
      <c r="P46" s="2"/>
    </row>
    <row r="47" spans="1:16" ht="24.95" customHeight="1">
      <c r="A47" s="254"/>
      <c r="B47" s="25" t="s">
        <v>269</v>
      </c>
      <c r="C47" s="244">
        <f>C9-C16</f>
        <v>39.751825130000043</v>
      </c>
      <c r="D47" s="245">
        <f>D9-D16</f>
        <v>51.492566900000043</v>
      </c>
      <c r="E47" s="245">
        <f t="shared" ref="E47:N47" si="9">E9-E16</f>
        <v>56.651463088000071</v>
      </c>
      <c r="F47" s="245">
        <f t="shared" si="9"/>
        <v>275.74326329000007</v>
      </c>
      <c r="G47" s="245">
        <f t="shared" si="9"/>
        <v>65.639038715000027</v>
      </c>
      <c r="H47" s="245">
        <f t="shared" si="9"/>
        <v>-9.5697170099999767</v>
      </c>
      <c r="I47" s="245">
        <f t="shared" si="9"/>
        <v>6.2857519100000445</v>
      </c>
      <c r="J47" s="245">
        <f t="shared" si="9"/>
        <v>42.043509978000088</v>
      </c>
      <c r="K47" s="245">
        <f t="shared" si="9"/>
        <v>2.8213051510000469</v>
      </c>
      <c r="L47" s="245">
        <f t="shared" si="9"/>
        <v>77.506720780000023</v>
      </c>
      <c r="M47" s="245">
        <f t="shared" si="9"/>
        <v>79.342996520000099</v>
      </c>
      <c r="N47" s="247">
        <f t="shared" si="9"/>
        <v>-167.26482033000013</v>
      </c>
      <c r="O47" s="271">
        <f t="shared" si="2"/>
        <v>520.44390412200039</v>
      </c>
      <c r="P47" s="2"/>
    </row>
    <row r="48" spans="1:16" ht="24.95" customHeight="1">
      <c r="A48" s="254"/>
      <c r="B48" s="25" t="s">
        <v>296</v>
      </c>
      <c r="C48" s="252"/>
      <c r="D48" s="250"/>
      <c r="E48" s="250"/>
      <c r="F48" s="250"/>
      <c r="G48" s="250"/>
      <c r="H48" s="250"/>
      <c r="I48" s="250"/>
      <c r="J48" s="250"/>
      <c r="K48" s="250"/>
      <c r="L48" s="250"/>
      <c r="M48" s="250"/>
      <c r="N48" s="251"/>
      <c r="O48" s="273"/>
      <c r="P48" s="2"/>
    </row>
    <row r="49" spans="1:16" ht="18" customHeight="1">
      <c r="A49" s="254"/>
      <c r="B49" s="272" t="s">
        <v>272</v>
      </c>
      <c r="C49" s="244">
        <f>C8-C15</f>
        <v>-9.0592041599999789</v>
      </c>
      <c r="D49" s="245">
        <f>D8-D15</f>
        <v>-1.0264113399999246</v>
      </c>
      <c r="E49" s="245">
        <f t="shared" ref="E49:N49" si="10">E8-E15</f>
        <v>-7.204482794999933</v>
      </c>
      <c r="F49" s="245">
        <f t="shared" si="10"/>
        <v>213.01358497000018</v>
      </c>
      <c r="G49" s="245">
        <f t="shared" si="10"/>
        <v>-5.6420641130000604</v>
      </c>
      <c r="H49" s="245">
        <f t="shared" si="10"/>
        <v>-59.822041369999965</v>
      </c>
      <c r="I49" s="245">
        <f t="shared" si="10"/>
        <v>-53.813993743319941</v>
      </c>
      <c r="J49" s="245">
        <f t="shared" si="10"/>
        <v>-15.235744561999923</v>
      </c>
      <c r="K49" s="245">
        <f t="shared" si="10"/>
        <v>-43.164218565999874</v>
      </c>
      <c r="L49" s="245">
        <f t="shared" si="10"/>
        <v>28.373049676000051</v>
      </c>
      <c r="M49" s="245">
        <f t="shared" si="10"/>
        <v>21.096501806000106</v>
      </c>
      <c r="N49" s="247">
        <f t="shared" si="10"/>
        <v>-251.0889890800002</v>
      </c>
      <c r="O49" s="271">
        <f t="shared" si="2"/>
        <v>-183.57401327731947</v>
      </c>
      <c r="P49" s="2"/>
    </row>
    <row r="50" spans="1:16" ht="18" customHeight="1">
      <c r="A50" s="254"/>
      <c r="B50" s="272" t="s">
        <v>273</v>
      </c>
      <c r="C50" s="244">
        <f>C49-C14</f>
        <v>-10.433928909999979</v>
      </c>
      <c r="D50" s="245">
        <f>D49-D14</f>
        <v>-2.8082190599999248</v>
      </c>
      <c r="E50" s="245">
        <f t="shared" ref="E50:N50" si="11">E49-E14</f>
        <v>-9.1559815549999328</v>
      </c>
      <c r="F50" s="245">
        <f t="shared" si="11"/>
        <v>212.03768508000019</v>
      </c>
      <c r="G50" s="245">
        <f t="shared" si="11"/>
        <v>-7.6190063630000608</v>
      </c>
      <c r="H50" s="245">
        <f t="shared" si="11"/>
        <v>-61.517479569999963</v>
      </c>
      <c r="I50" s="245">
        <f t="shared" si="11"/>
        <v>-56.181229893319937</v>
      </c>
      <c r="J50" s="245">
        <f t="shared" si="11"/>
        <v>-16.716618701999924</v>
      </c>
      <c r="K50" s="245">
        <f t="shared" si="11"/>
        <v>-44.597095565999872</v>
      </c>
      <c r="L50" s="245">
        <f t="shared" si="11"/>
        <v>26.058374716000053</v>
      </c>
      <c r="M50" s="245">
        <f t="shared" si="11"/>
        <v>18.685487566000106</v>
      </c>
      <c r="N50" s="247">
        <f t="shared" si="11"/>
        <v>-253.19352708000019</v>
      </c>
      <c r="O50" s="271">
        <f t="shared" si="2"/>
        <v>-205.44153933731945</v>
      </c>
      <c r="P50" s="2"/>
    </row>
    <row r="51" spans="1:16" ht="18" customHeight="1">
      <c r="A51" s="254"/>
      <c r="B51" s="272" t="s">
        <v>274</v>
      </c>
      <c r="C51" s="244">
        <f>C49-C74</f>
        <v>-49.244521859999978</v>
      </c>
      <c r="D51" s="245">
        <f>D49-D74</f>
        <v>-40.953936289999923</v>
      </c>
      <c r="E51" s="245">
        <f t="shared" ref="E51:N51" si="12">E49-E74</f>
        <v>-47.32965055499993</v>
      </c>
      <c r="F51" s="245">
        <f t="shared" si="12"/>
        <v>172.48347837000017</v>
      </c>
      <c r="G51" s="245">
        <f t="shared" si="12"/>
        <v>-46.615848483000065</v>
      </c>
      <c r="H51" s="245">
        <f t="shared" si="12"/>
        <v>-100.50900807999997</v>
      </c>
      <c r="I51" s="245">
        <f t="shared" si="12"/>
        <v>-94.984173433319938</v>
      </c>
      <c r="J51" s="245">
        <f t="shared" si="12"/>
        <v>-56.662001601999926</v>
      </c>
      <c r="K51" s="245">
        <f t="shared" si="12"/>
        <v>-84.651707765999873</v>
      </c>
      <c r="L51" s="245">
        <f t="shared" si="12"/>
        <v>-14.597843213999951</v>
      </c>
      <c r="M51" s="245">
        <f t="shared" si="12"/>
        <v>-27.449115853999892</v>
      </c>
      <c r="N51" s="247">
        <f t="shared" si="12"/>
        <v>-312.9440295400002</v>
      </c>
      <c r="O51" s="271">
        <f t="shared" si="2"/>
        <v>-703.45835830731949</v>
      </c>
      <c r="P51" s="2"/>
    </row>
    <row r="52" spans="1:16" ht="24.95" customHeight="1">
      <c r="A52" s="254"/>
      <c r="B52" s="25" t="s">
        <v>275</v>
      </c>
      <c r="C52" s="244">
        <f>SUM(C53:C54)</f>
        <v>43.919385370000001</v>
      </c>
      <c r="D52" s="245">
        <f>SUM(D53:D54)</f>
        <v>-21.331542070000001</v>
      </c>
      <c r="E52" s="245">
        <f t="shared" ref="E52:N52" si="13">SUM(E53:E54)</f>
        <v>2.0600000000000005</v>
      </c>
      <c r="F52" s="245">
        <f t="shared" si="13"/>
        <v>-13.776607309999999</v>
      </c>
      <c r="G52" s="245">
        <f t="shared" si="13"/>
        <v>-10.011302359999998</v>
      </c>
      <c r="H52" s="245">
        <f t="shared" si="13"/>
        <v>-77.710129509999987</v>
      </c>
      <c r="I52" s="245">
        <f t="shared" si="13"/>
        <v>63.31851541000001</v>
      </c>
      <c r="J52" s="245">
        <f t="shared" si="13"/>
        <v>-15.535842999999993</v>
      </c>
      <c r="K52" s="245">
        <f t="shared" si="13"/>
        <v>-4.2025841699999944</v>
      </c>
      <c r="L52" s="245">
        <f t="shared" si="13"/>
        <v>-7.5431725899999993</v>
      </c>
      <c r="M52" s="245">
        <f t="shared" si="13"/>
        <v>6.4583026399999994</v>
      </c>
      <c r="N52" s="247">
        <f t="shared" si="13"/>
        <v>109.23285031</v>
      </c>
      <c r="O52" s="271">
        <f t="shared" si="2"/>
        <v>74.877872720000042</v>
      </c>
      <c r="P52" s="2"/>
    </row>
    <row r="53" spans="1:16">
      <c r="A53" s="254"/>
      <c r="B53" s="35" t="s">
        <v>276</v>
      </c>
      <c r="C53" s="252">
        <v>56.572803399999998</v>
      </c>
      <c r="D53" s="250">
        <v>10.8</v>
      </c>
      <c r="E53" s="250">
        <v>14.39</v>
      </c>
      <c r="F53" s="250">
        <v>4.4379936100000004</v>
      </c>
      <c r="G53" s="250">
        <v>12.72635734</v>
      </c>
      <c r="H53" s="250">
        <v>7.3569919300000004</v>
      </c>
      <c r="I53" s="250">
        <v>77.224808590000009</v>
      </c>
      <c r="J53" s="250">
        <v>19.674700000000001</v>
      </c>
      <c r="K53" s="250">
        <v>95.004518970000007</v>
      </c>
      <c r="L53" s="250">
        <v>13.67551132</v>
      </c>
      <c r="M53" s="250">
        <v>29.4552297</v>
      </c>
      <c r="N53" s="251">
        <v>196.84190538999999</v>
      </c>
      <c r="O53" s="273">
        <f t="shared" si="2"/>
        <v>538.16082025000003</v>
      </c>
      <c r="P53" s="2"/>
    </row>
    <row r="54" spans="1:16">
      <c r="A54" s="254"/>
      <c r="B54" s="35" t="s">
        <v>277</v>
      </c>
      <c r="C54" s="252">
        <v>-12.653418029999999</v>
      </c>
      <c r="D54" s="250">
        <v>-32.131542070000002</v>
      </c>
      <c r="E54" s="250">
        <v>-12.33</v>
      </c>
      <c r="F54" s="250">
        <v>-18.214600919999999</v>
      </c>
      <c r="G54" s="250">
        <v>-22.737659699999998</v>
      </c>
      <c r="H54" s="250">
        <v>-85.067121439999994</v>
      </c>
      <c r="I54" s="250">
        <v>-13.90629318</v>
      </c>
      <c r="J54" s="250">
        <v>-35.210542999999994</v>
      </c>
      <c r="K54" s="250">
        <v>-99.207103140000001</v>
      </c>
      <c r="L54" s="250">
        <v>-21.218683909999999</v>
      </c>
      <c r="M54" s="250">
        <v>-22.996927060000001</v>
      </c>
      <c r="N54" s="251">
        <v>-87.60905507999999</v>
      </c>
      <c r="O54" s="273">
        <f t="shared" si="2"/>
        <v>-463.28294753</v>
      </c>
      <c r="P54" s="2"/>
    </row>
    <row r="55" spans="1:16" ht="24.95" customHeight="1">
      <c r="A55" s="254"/>
      <c r="B55" s="25" t="s">
        <v>278</v>
      </c>
      <c r="C55" s="244">
        <f>+C56+C59+C62+C65+C66</f>
        <v>-34.860181210000022</v>
      </c>
      <c r="D55" s="245">
        <f t="shared" ref="D55:N55" si="14">+D56+D59+D62+D65+D66</f>
        <v>22.357953409999922</v>
      </c>
      <c r="E55" s="245">
        <f t="shared" si="14"/>
        <v>5.1444827949999308</v>
      </c>
      <c r="F55" s="245">
        <f t="shared" si="14"/>
        <v>-199.23697766000021</v>
      </c>
      <c r="G55" s="245">
        <f t="shared" si="14"/>
        <v>15.653366473000062</v>
      </c>
      <c r="H55" s="245">
        <f t="shared" si="14"/>
        <v>137.53217087999997</v>
      </c>
      <c r="I55" s="245">
        <f t="shared" si="14"/>
        <v>-9.5045216666800627</v>
      </c>
      <c r="J55" s="245">
        <f t="shared" si="14"/>
        <v>30.771587561999915</v>
      </c>
      <c r="K55" s="245">
        <f t="shared" si="14"/>
        <v>47.366802735999869</v>
      </c>
      <c r="L55" s="245">
        <f t="shared" si="14"/>
        <v>-20.829877086000053</v>
      </c>
      <c r="M55" s="245">
        <f t="shared" si="14"/>
        <v>-27.554804446000105</v>
      </c>
      <c r="N55" s="247">
        <f t="shared" si="14"/>
        <v>141.85613877000017</v>
      </c>
      <c r="O55" s="271">
        <f>SUM(C55:N55)</f>
        <v>108.69614055731938</v>
      </c>
      <c r="P55" s="2"/>
    </row>
    <row r="56" spans="1:16">
      <c r="A56" s="254"/>
      <c r="B56" s="35" t="s">
        <v>279</v>
      </c>
      <c r="C56" s="252">
        <f>+C57+C58</f>
        <v>-25.6</v>
      </c>
      <c r="D56" s="250">
        <f>+D57+D58</f>
        <v>-0.56000000000000005</v>
      </c>
      <c r="E56" s="250">
        <f t="shared" ref="E56:N56" si="15">+E57+E58</f>
        <v>-14.042946649999999</v>
      </c>
      <c r="F56" s="250">
        <f t="shared" si="15"/>
        <v>22.005006789999999</v>
      </c>
      <c r="G56" s="250">
        <f t="shared" si="15"/>
        <v>-147.75846835999999</v>
      </c>
      <c r="H56" s="250">
        <f t="shared" si="15"/>
        <v>127.68</v>
      </c>
      <c r="I56" s="250">
        <f t="shared" si="15"/>
        <v>-22.475999999999999</v>
      </c>
      <c r="J56" s="250">
        <f t="shared" si="15"/>
        <v>-38.78</v>
      </c>
      <c r="K56" s="250">
        <f t="shared" si="15"/>
        <v>28.737459999999999</v>
      </c>
      <c r="L56" s="250">
        <f t="shared" si="15"/>
        <v>22.98450725</v>
      </c>
      <c r="M56" s="250">
        <f t="shared" si="15"/>
        <v>-23.800231329999999</v>
      </c>
      <c r="N56" s="251">
        <f t="shared" si="15"/>
        <v>70.103693359999994</v>
      </c>
      <c r="O56" s="273">
        <f t="shared" si="2"/>
        <v>-1.506978939999982</v>
      </c>
      <c r="P56" s="2"/>
    </row>
    <row r="57" spans="1:16">
      <c r="A57" s="254"/>
      <c r="B57" s="265" t="s">
        <v>280</v>
      </c>
      <c r="C57" s="252"/>
      <c r="D57" s="250"/>
      <c r="E57" s="250"/>
      <c r="F57" s="250"/>
      <c r="G57" s="250"/>
      <c r="H57" s="250"/>
      <c r="I57" s="250"/>
      <c r="J57" s="250"/>
      <c r="K57" s="250"/>
      <c r="L57" s="250"/>
      <c r="M57" s="250"/>
      <c r="N57" s="251"/>
      <c r="O57" s="273">
        <f t="shared" si="2"/>
        <v>0</v>
      </c>
      <c r="P57" s="2"/>
    </row>
    <row r="58" spans="1:16">
      <c r="A58" s="254"/>
      <c r="B58" s="265" t="s">
        <v>281</v>
      </c>
      <c r="C58" s="252">
        <v>-25.6</v>
      </c>
      <c r="D58" s="250">
        <v>-0.56000000000000005</v>
      </c>
      <c r="E58" s="250">
        <v>-14.042946649999999</v>
      </c>
      <c r="F58" s="250">
        <v>22.005006789999999</v>
      </c>
      <c r="G58" s="250">
        <v>-147.75846835999999</v>
      </c>
      <c r="H58" s="250">
        <v>127.68</v>
      </c>
      <c r="I58" s="250">
        <v>-22.475999999999999</v>
      </c>
      <c r="J58" s="250">
        <v>-38.78</v>
      </c>
      <c r="K58" s="250">
        <v>28.737459999999999</v>
      </c>
      <c r="L58" s="250">
        <v>22.98450725</v>
      </c>
      <c r="M58" s="250">
        <v>-23.800231329999999</v>
      </c>
      <c r="N58" s="251">
        <v>70.103693359999994</v>
      </c>
      <c r="O58" s="273">
        <f t="shared" si="2"/>
        <v>-1.506978939999982</v>
      </c>
      <c r="P58" s="2"/>
    </row>
    <row r="59" spans="1:16">
      <c r="A59" s="254"/>
      <c r="B59" s="35" t="s">
        <v>282</v>
      </c>
      <c r="C59" s="252">
        <f>+C60+C61</f>
        <v>5.2974762800000015</v>
      </c>
      <c r="D59" s="250">
        <f>+D60+D61</f>
        <v>26.24053177</v>
      </c>
      <c r="E59" s="250">
        <f t="shared" ref="E59:N59" si="16">+E60+E61</f>
        <v>8.8053132800000018</v>
      </c>
      <c r="F59" s="250">
        <f t="shared" si="16"/>
        <v>-196.17178468999998</v>
      </c>
      <c r="G59" s="250">
        <f t="shared" si="16"/>
        <v>141.21930632000002</v>
      </c>
      <c r="H59" s="250">
        <f t="shared" si="16"/>
        <v>28.683529670000002</v>
      </c>
      <c r="I59" s="250">
        <f t="shared" si="16"/>
        <v>28.813988649999999</v>
      </c>
      <c r="J59" s="250">
        <f t="shared" si="16"/>
        <v>59.784494209999991</v>
      </c>
      <c r="K59" s="250">
        <f t="shared" si="16"/>
        <v>-0.47850971999999992</v>
      </c>
      <c r="L59" s="250">
        <f t="shared" si="16"/>
        <v>5.1848981099999989</v>
      </c>
      <c r="M59" s="250">
        <f t="shared" si="16"/>
        <v>4.5321252900000015</v>
      </c>
      <c r="N59" s="251">
        <f t="shared" si="16"/>
        <v>-52.432419979999999</v>
      </c>
      <c r="O59" s="273">
        <f t="shared" si="2"/>
        <v>59.478949190000016</v>
      </c>
      <c r="P59" s="2"/>
    </row>
    <row r="60" spans="1:16">
      <c r="A60" s="254"/>
      <c r="B60" s="265" t="s">
        <v>280</v>
      </c>
      <c r="C60" s="252">
        <v>23.29047628</v>
      </c>
      <c r="D60" s="250">
        <v>3.5045317699999998</v>
      </c>
      <c r="E60" s="250">
        <v>22.254313280000002</v>
      </c>
      <c r="F60" s="250">
        <v>-5.3457846900000021</v>
      </c>
      <c r="G60" s="250">
        <v>-38.858693679999995</v>
      </c>
      <c r="H60" s="250">
        <v>27.123529670000003</v>
      </c>
      <c r="I60" s="250">
        <v>20.521988649999997</v>
      </c>
      <c r="J60" s="250">
        <v>67.014494209999995</v>
      </c>
      <c r="K60" s="250">
        <v>14.35249028</v>
      </c>
      <c r="L60" s="250">
        <v>-15.668101890000003</v>
      </c>
      <c r="M60" s="250">
        <v>-7.6168747099999976</v>
      </c>
      <c r="N60" s="251">
        <v>-68.731419979999998</v>
      </c>
      <c r="O60" s="273">
        <f t="shared" si="2"/>
        <v>41.840949190000003</v>
      </c>
      <c r="P60" s="2"/>
    </row>
    <row r="61" spans="1:16">
      <c r="A61" s="254"/>
      <c r="B61" s="265" t="s">
        <v>281</v>
      </c>
      <c r="C61" s="252">
        <v>-17.992999999999999</v>
      </c>
      <c r="D61" s="250">
        <v>22.736000000000001</v>
      </c>
      <c r="E61" s="250">
        <v>-13.449</v>
      </c>
      <c r="F61" s="250">
        <v>-190.82599999999999</v>
      </c>
      <c r="G61" s="250">
        <v>180.078</v>
      </c>
      <c r="H61" s="250">
        <v>1.56</v>
      </c>
      <c r="I61" s="250">
        <v>8.2919999999999998</v>
      </c>
      <c r="J61" s="250">
        <v>-7.23</v>
      </c>
      <c r="K61" s="250">
        <v>-14.831</v>
      </c>
      <c r="L61" s="250">
        <v>20.853000000000002</v>
      </c>
      <c r="M61" s="250">
        <v>12.148999999999999</v>
      </c>
      <c r="N61" s="251">
        <v>16.298999999999999</v>
      </c>
      <c r="O61" s="273">
        <f t="shared" si="2"/>
        <v>17.638000000000019</v>
      </c>
      <c r="P61" s="2"/>
    </row>
    <row r="62" spans="1:16">
      <c r="A62" s="254"/>
      <c r="B62" s="35" t="s">
        <v>283</v>
      </c>
      <c r="C62" s="252">
        <f>+C63+C64</f>
        <v>0</v>
      </c>
      <c r="D62" s="250">
        <f>+D63+D64</f>
        <v>0</v>
      </c>
      <c r="E62" s="250">
        <f t="shared" ref="E62:N62" si="17">+E63+E64</f>
        <v>0</v>
      </c>
      <c r="F62" s="250">
        <f t="shared" si="17"/>
        <v>0</v>
      </c>
      <c r="G62" s="250">
        <f t="shared" si="17"/>
        <v>0</v>
      </c>
      <c r="H62" s="250">
        <f t="shared" si="17"/>
        <v>0</v>
      </c>
      <c r="I62" s="250">
        <f t="shared" si="17"/>
        <v>0</v>
      </c>
      <c r="J62" s="250">
        <f t="shared" si="17"/>
        <v>0</v>
      </c>
      <c r="K62" s="250">
        <f t="shared" si="17"/>
        <v>0</v>
      </c>
      <c r="L62" s="250">
        <f t="shared" si="17"/>
        <v>0</v>
      </c>
      <c r="M62" s="250">
        <f t="shared" si="17"/>
        <v>0</v>
      </c>
      <c r="N62" s="251">
        <f t="shared" si="17"/>
        <v>0</v>
      </c>
      <c r="O62" s="273">
        <f t="shared" si="2"/>
        <v>0</v>
      </c>
      <c r="P62" s="2"/>
    </row>
    <row r="63" spans="1:16">
      <c r="A63" s="254"/>
      <c r="B63" s="265" t="s">
        <v>280</v>
      </c>
      <c r="C63" s="252"/>
      <c r="D63" s="250"/>
      <c r="E63" s="250"/>
      <c r="F63" s="250"/>
      <c r="G63" s="250"/>
      <c r="H63" s="250"/>
      <c r="I63" s="250"/>
      <c r="J63" s="250"/>
      <c r="K63" s="250"/>
      <c r="L63" s="250"/>
      <c r="M63" s="250"/>
      <c r="N63" s="251"/>
      <c r="O63" s="273">
        <f t="shared" si="2"/>
        <v>0</v>
      </c>
      <c r="P63" s="2"/>
    </row>
    <row r="64" spans="1:16">
      <c r="A64" s="254"/>
      <c r="B64" s="265" t="s">
        <v>281</v>
      </c>
      <c r="C64" s="252"/>
      <c r="D64" s="250"/>
      <c r="E64" s="250"/>
      <c r="F64" s="250"/>
      <c r="G64" s="250"/>
      <c r="H64" s="250"/>
      <c r="I64" s="250"/>
      <c r="J64" s="250"/>
      <c r="K64" s="250"/>
      <c r="L64" s="250"/>
      <c r="M64" s="250"/>
      <c r="N64" s="251"/>
      <c r="O64" s="273">
        <f t="shared" si="2"/>
        <v>0</v>
      </c>
      <c r="P64" s="2"/>
    </row>
    <row r="65" spans="1:16">
      <c r="A65" s="254"/>
      <c r="B65" s="35" t="s">
        <v>284</v>
      </c>
      <c r="C65" s="252">
        <v>28.582593869999997</v>
      </c>
      <c r="D65" s="250">
        <v>45.866414149999997</v>
      </c>
      <c r="E65" s="250">
        <v>48.558459509999999</v>
      </c>
      <c r="F65" s="250">
        <v>21.636355919999996</v>
      </c>
      <c r="G65" s="250">
        <v>22.322324370000004</v>
      </c>
      <c r="H65" s="250">
        <v>24.021612359999995</v>
      </c>
      <c r="I65" s="250">
        <v>42.462398159999992</v>
      </c>
      <c r="J65" s="250">
        <v>47.437050110000001</v>
      </c>
      <c r="K65" s="250">
        <v>54.81943192</v>
      </c>
      <c r="L65" s="250">
        <v>25.491871560000003</v>
      </c>
      <c r="M65" s="250">
        <v>52.128848769999991</v>
      </c>
      <c r="N65" s="251">
        <v>129.34939405999998</v>
      </c>
      <c r="O65" s="273">
        <f t="shared" si="2"/>
        <v>542.67675475999999</v>
      </c>
      <c r="P65" s="2"/>
    </row>
    <row r="66" spans="1:16">
      <c r="A66" s="254"/>
      <c r="B66" s="35" t="s">
        <v>285</v>
      </c>
      <c r="C66" s="252">
        <f>SUM(C67:C71)</f>
        <v>-43.140251360000022</v>
      </c>
      <c r="D66" s="250">
        <f>SUM(D67:D71)</f>
        <v>-49.188992510000077</v>
      </c>
      <c r="E66" s="250">
        <f t="shared" ref="E66:N66" si="18">SUM(E67:E71)</f>
        <v>-38.17634334500007</v>
      </c>
      <c r="F66" s="250">
        <f t="shared" si="18"/>
        <v>-46.706555680000221</v>
      </c>
      <c r="G66" s="250">
        <f t="shared" si="18"/>
        <v>-0.12979585699996221</v>
      </c>
      <c r="H66" s="250">
        <f t="shared" si="18"/>
        <v>-42.852971150000045</v>
      </c>
      <c r="I66" s="250">
        <f t="shared" si="18"/>
        <v>-58.304908476680055</v>
      </c>
      <c r="J66" s="250">
        <f t="shared" si="18"/>
        <v>-37.669956758000076</v>
      </c>
      <c r="K66" s="250">
        <f t="shared" si="18"/>
        <v>-35.711579464000124</v>
      </c>
      <c r="L66" s="250">
        <f t="shared" si="18"/>
        <v>-74.491154006000059</v>
      </c>
      <c r="M66" s="250">
        <f t="shared" si="18"/>
        <v>-60.415547176000096</v>
      </c>
      <c r="N66" s="251">
        <f t="shared" si="18"/>
        <v>-5.164528669999811</v>
      </c>
      <c r="O66" s="273">
        <f t="shared" si="2"/>
        <v>-491.95258445268058</v>
      </c>
      <c r="P66" s="2"/>
    </row>
    <row r="67" spans="1:16">
      <c r="A67" s="254"/>
      <c r="B67" s="265" t="s">
        <v>286</v>
      </c>
      <c r="C67" s="252"/>
      <c r="D67" s="250"/>
      <c r="E67" s="250"/>
      <c r="F67" s="250"/>
      <c r="G67" s="250"/>
      <c r="H67" s="250"/>
      <c r="I67" s="250"/>
      <c r="J67" s="250"/>
      <c r="K67" s="250"/>
      <c r="L67" s="250"/>
      <c r="M67" s="250"/>
      <c r="N67" s="251"/>
      <c r="O67" s="273">
        <f t="shared" si="2"/>
        <v>0</v>
      </c>
      <c r="P67" s="2"/>
    </row>
    <row r="68" spans="1:16">
      <c r="A68" s="254"/>
      <c r="B68" s="265" t="s">
        <v>287</v>
      </c>
      <c r="C68" s="252"/>
      <c r="D68" s="250"/>
      <c r="E68" s="250"/>
      <c r="F68" s="250"/>
      <c r="G68" s="250"/>
      <c r="H68" s="250"/>
      <c r="I68" s="250"/>
      <c r="J68" s="250"/>
      <c r="K68" s="250"/>
      <c r="L68" s="250"/>
      <c r="M68" s="250"/>
      <c r="N68" s="251"/>
      <c r="O68" s="273">
        <f t="shared" si="2"/>
        <v>0</v>
      </c>
      <c r="P68" s="2"/>
    </row>
    <row r="69" spans="1:16">
      <c r="A69" s="254"/>
      <c r="B69" s="265" t="s">
        <v>288</v>
      </c>
      <c r="C69" s="252"/>
      <c r="D69" s="250"/>
      <c r="E69" s="250"/>
      <c r="F69" s="250"/>
      <c r="G69" s="250"/>
      <c r="H69" s="250"/>
      <c r="I69" s="250"/>
      <c r="J69" s="250"/>
      <c r="K69" s="250"/>
      <c r="L69" s="250"/>
      <c r="M69" s="250"/>
      <c r="N69" s="251"/>
      <c r="O69" s="273">
        <f t="shared" si="2"/>
        <v>0</v>
      </c>
      <c r="P69" s="2"/>
    </row>
    <row r="70" spans="1:16">
      <c r="A70" s="254"/>
      <c r="B70" s="265" t="s">
        <v>289</v>
      </c>
      <c r="C70" s="252">
        <v>-40.185317699999999</v>
      </c>
      <c r="D70" s="250">
        <v>-39.927524949999999</v>
      </c>
      <c r="E70" s="250">
        <v>-40.125167759999997</v>
      </c>
      <c r="F70" s="250">
        <v>-40.530106599999996</v>
      </c>
      <c r="G70" s="250">
        <v>-40.973784370000004</v>
      </c>
      <c r="H70" s="250">
        <v>-40.68696671</v>
      </c>
      <c r="I70" s="250">
        <v>-41.170179689999998</v>
      </c>
      <c r="J70" s="250">
        <v>-41.426257040000003</v>
      </c>
      <c r="K70" s="250">
        <v>-41.487489199999999</v>
      </c>
      <c r="L70" s="250">
        <v>-42.970892890000002</v>
      </c>
      <c r="M70" s="250">
        <v>-48.545617659999998</v>
      </c>
      <c r="N70" s="251">
        <v>-61.855040459999998</v>
      </c>
      <c r="O70" s="273">
        <f t="shared" si="2"/>
        <v>-519.88434503000008</v>
      </c>
      <c r="P70" s="2"/>
    </row>
    <row r="71" spans="1:16">
      <c r="A71" s="254"/>
      <c r="B71" s="265" t="s">
        <v>285</v>
      </c>
      <c r="C71" s="252">
        <v>-2.9549336600000231</v>
      </c>
      <c r="D71" s="250">
        <v>-9.261467560000078</v>
      </c>
      <c r="E71" s="250">
        <v>1.9488244149999261</v>
      </c>
      <c r="F71" s="250">
        <v>-6.176449080000225</v>
      </c>
      <c r="G71" s="250">
        <v>40.843988513000042</v>
      </c>
      <c r="H71" s="250">
        <v>-2.1660044400000444</v>
      </c>
      <c r="I71" s="250">
        <v>-17.134728786680057</v>
      </c>
      <c r="J71" s="250">
        <v>3.7563002819999269</v>
      </c>
      <c r="K71" s="250">
        <v>5.7759097359998748</v>
      </c>
      <c r="L71" s="250">
        <v>-31.520261116000057</v>
      </c>
      <c r="M71" s="250">
        <v>-11.869929516000099</v>
      </c>
      <c r="N71" s="251">
        <v>56.690511790000187</v>
      </c>
      <c r="O71" s="273">
        <f t="shared" si="2"/>
        <v>27.931760577319373</v>
      </c>
      <c r="P71" s="2"/>
    </row>
    <row r="72" spans="1:16" ht="24.95" customHeight="1">
      <c r="A72" s="254"/>
      <c r="B72" s="25" t="s">
        <v>290</v>
      </c>
      <c r="C72" s="244">
        <f>-C49-C52-C55</f>
        <v>0</v>
      </c>
      <c r="D72" s="245">
        <f>-D49-D52-D55</f>
        <v>0</v>
      </c>
      <c r="E72" s="245">
        <f t="shared" ref="E72:N72" si="19">-E49-E52-E55</f>
        <v>0</v>
      </c>
      <c r="F72" s="245">
        <f t="shared" si="19"/>
        <v>0</v>
      </c>
      <c r="G72" s="245">
        <f t="shared" si="19"/>
        <v>0</v>
      </c>
      <c r="H72" s="245">
        <f t="shared" si="19"/>
        <v>0</v>
      </c>
      <c r="I72" s="245">
        <f t="shared" si="19"/>
        <v>0</v>
      </c>
      <c r="J72" s="245">
        <f t="shared" si="19"/>
        <v>0</v>
      </c>
      <c r="K72" s="245">
        <f t="shared" si="19"/>
        <v>0</v>
      </c>
      <c r="L72" s="245">
        <f t="shared" si="19"/>
        <v>0</v>
      </c>
      <c r="M72" s="245">
        <f t="shared" si="19"/>
        <v>0</v>
      </c>
      <c r="N72" s="247">
        <f t="shared" si="19"/>
        <v>0</v>
      </c>
      <c r="O72" s="271">
        <f t="shared" si="2"/>
        <v>0</v>
      </c>
      <c r="P72" s="2"/>
    </row>
    <row r="73" spans="1:16">
      <c r="A73" s="254"/>
      <c r="B73" s="42"/>
      <c r="C73" s="252"/>
      <c r="D73" s="250"/>
      <c r="E73" s="250"/>
      <c r="F73" s="250"/>
      <c r="G73" s="250"/>
      <c r="H73" s="250"/>
      <c r="I73" s="250"/>
      <c r="J73" s="250"/>
      <c r="K73" s="250"/>
      <c r="L73" s="250"/>
      <c r="M73" s="250"/>
      <c r="N73" s="251"/>
      <c r="O73" s="273"/>
      <c r="P73" s="2"/>
    </row>
    <row r="74" spans="1:16" ht="24.95" customHeight="1">
      <c r="A74" s="254"/>
      <c r="B74" s="25" t="s">
        <v>291</v>
      </c>
      <c r="C74" s="244">
        <v>40.185317699999999</v>
      </c>
      <c r="D74" s="245">
        <v>39.927524949999999</v>
      </c>
      <c r="E74" s="245">
        <v>40.125167759999997</v>
      </c>
      <c r="F74" s="245">
        <v>40.530106599999996</v>
      </c>
      <c r="G74" s="245">
        <v>40.973784370000004</v>
      </c>
      <c r="H74" s="245">
        <v>40.68696671</v>
      </c>
      <c r="I74" s="245">
        <v>41.170179689999998</v>
      </c>
      <c r="J74" s="245">
        <v>41.426257040000003</v>
      </c>
      <c r="K74" s="245">
        <v>41.487489199999999</v>
      </c>
      <c r="L74" s="245">
        <v>42.970892890000002</v>
      </c>
      <c r="M74" s="245">
        <v>48.545617659999998</v>
      </c>
      <c r="N74" s="247">
        <v>61.855040459999998</v>
      </c>
      <c r="O74" s="271">
        <f>SUM(C74:N74)</f>
        <v>519.88434503000008</v>
      </c>
      <c r="P74" s="2"/>
    </row>
    <row r="75" spans="1:16" ht="24.95" customHeight="1">
      <c r="A75" s="254"/>
      <c r="B75" s="25" t="s">
        <v>292</v>
      </c>
      <c r="C75" s="252"/>
      <c r="D75" s="250"/>
      <c r="E75" s="250"/>
      <c r="F75" s="250"/>
      <c r="G75" s="250"/>
      <c r="H75" s="250"/>
      <c r="I75" s="250"/>
      <c r="J75" s="250"/>
      <c r="K75" s="250"/>
      <c r="L75" s="250"/>
      <c r="M75" s="250"/>
      <c r="N75" s="251"/>
      <c r="O75" s="273">
        <f>SUM(C75:N75)</f>
        <v>0</v>
      </c>
      <c r="P75" s="2"/>
    </row>
    <row r="76" spans="1:16" ht="24.95" customHeight="1">
      <c r="A76" s="254"/>
      <c r="B76" s="38" t="s">
        <v>56</v>
      </c>
      <c r="C76" s="285"/>
      <c r="D76" s="286"/>
      <c r="E76" s="286"/>
      <c r="F76" s="286"/>
      <c r="G76" s="286"/>
      <c r="H76" s="286"/>
      <c r="I76" s="286"/>
      <c r="J76" s="286"/>
      <c r="K76" s="286"/>
      <c r="L76" s="286"/>
      <c r="M76" s="286"/>
      <c r="N76" s="287"/>
      <c r="O76" s="284">
        <v>24154.11</v>
      </c>
      <c r="P76" s="2"/>
    </row>
    <row r="77" spans="1:16" ht="6" customHeight="1">
      <c r="B77" s="2"/>
      <c r="C77" s="268"/>
      <c r="D77" s="268"/>
      <c r="E77" s="268"/>
      <c r="F77" s="268"/>
      <c r="G77" s="268"/>
      <c r="H77" s="268"/>
      <c r="I77" s="268"/>
      <c r="J77" s="268"/>
      <c r="K77" s="268"/>
      <c r="L77" s="268"/>
      <c r="M77" s="268"/>
      <c r="N77" s="268"/>
      <c r="O77" s="2"/>
      <c r="P77" s="2"/>
    </row>
    <row r="78" spans="1:16">
      <c r="B78" s="2" t="s">
        <v>293</v>
      </c>
      <c r="C78" s="268"/>
      <c r="D78" s="268"/>
      <c r="E78" s="268"/>
      <c r="F78" s="268"/>
      <c r="G78" s="268"/>
      <c r="H78" s="268"/>
      <c r="I78" s="268"/>
      <c r="J78" s="268"/>
      <c r="K78" s="268"/>
      <c r="L78" s="268"/>
      <c r="M78" s="268"/>
      <c r="N78" s="268"/>
      <c r="O78" s="2"/>
      <c r="P78" s="2"/>
    </row>
    <row r="79" spans="1:16">
      <c r="B79" s="2"/>
      <c r="C79" s="2"/>
      <c r="D79" s="2"/>
      <c r="E79" s="2"/>
      <c r="F79" s="2"/>
      <c r="G79" s="2"/>
      <c r="H79" s="2"/>
      <c r="I79" s="2"/>
      <c r="J79" s="2"/>
      <c r="K79" s="2"/>
      <c r="L79" s="2"/>
      <c r="M79" s="2"/>
      <c r="N79" s="2"/>
      <c r="O79" s="2"/>
      <c r="P79" s="2"/>
    </row>
    <row r="80" spans="1:16">
      <c r="B80" s="602" t="s">
        <v>566</v>
      </c>
    </row>
    <row r="81" spans="2:2">
      <c r="B81" s="602" t="s">
        <v>567</v>
      </c>
    </row>
  </sheetData>
  <printOptions horizontalCentered="1"/>
  <pageMargins left="0.7" right="0.7" top="0.75" bottom="0.75" header="0.3" footer="0.3"/>
  <pageSetup scale="71" orientation="landscape" r:id="rId1"/>
  <ignoredErrors>
    <ignoredError sqref="C9:N9" formulaRange="1"/>
    <ignoredError sqref="O55"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R81"/>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 min="18" max="18" width="13.7109375" bestFit="1" customWidth="1"/>
  </cols>
  <sheetData>
    <row r="2" spans="2:18">
      <c r="B2" s="234" t="s">
        <v>18</v>
      </c>
      <c r="C2" s="2"/>
      <c r="D2" s="2"/>
      <c r="E2" s="2"/>
      <c r="F2" s="2"/>
      <c r="G2" s="2"/>
      <c r="H2" s="268"/>
      <c r="I2" s="268"/>
      <c r="J2" s="268"/>
      <c r="K2" s="268"/>
      <c r="L2" s="268"/>
      <c r="M2" s="268"/>
      <c r="N2" s="268"/>
      <c r="O2" s="268"/>
      <c r="P2" s="268"/>
    </row>
    <row r="3" spans="2:18">
      <c r="B3" s="234" t="s">
        <v>662</v>
      </c>
      <c r="C3" s="2"/>
      <c r="D3" s="2"/>
      <c r="E3" s="2"/>
      <c r="F3" s="2"/>
      <c r="G3" s="2"/>
      <c r="H3" s="268"/>
      <c r="I3" s="268"/>
      <c r="J3" s="268"/>
      <c r="K3" s="268"/>
      <c r="L3" s="268"/>
      <c r="M3" s="268"/>
      <c r="N3" s="268"/>
      <c r="O3" s="268"/>
      <c r="P3" s="268"/>
    </row>
    <row r="4" spans="2:18">
      <c r="B4" s="234" t="s">
        <v>19</v>
      </c>
      <c r="C4" s="2"/>
      <c r="D4" s="2"/>
      <c r="E4" s="2"/>
      <c r="F4" s="2"/>
      <c r="G4" s="2"/>
      <c r="H4" s="2"/>
      <c r="I4" s="2"/>
      <c r="J4" s="2"/>
      <c r="K4" s="2"/>
      <c r="L4" s="2"/>
      <c r="M4" s="2"/>
      <c r="N4" s="2"/>
      <c r="O4" s="2"/>
      <c r="P4" s="2"/>
      <c r="R4" s="9"/>
    </row>
    <row r="5" spans="2:18" ht="6" customHeight="1">
      <c r="B5" s="2"/>
      <c r="C5" s="2"/>
      <c r="D5" s="2"/>
      <c r="E5" s="2"/>
      <c r="F5" s="2"/>
      <c r="G5" s="2"/>
      <c r="H5" s="2"/>
      <c r="I5" s="2"/>
      <c r="J5" s="2"/>
      <c r="K5" s="2"/>
      <c r="L5" s="2"/>
      <c r="M5" s="2"/>
      <c r="N5" s="2"/>
      <c r="O5" s="2"/>
      <c r="P5" s="2"/>
      <c r="R5" s="9"/>
    </row>
    <row r="6" spans="2:18"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622</v>
      </c>
      <c r="P6" s="2"/>
      <c r="R6" s="9"/>
    </row>
    <row r="7" spans="2:18" ht="6" customHeight="1">
      <c r="B7" s="240"/>
      <c r="C7" s="240"/>
      <c r="D7" s="241"/>
      <c r="E7" s="241"/>
      <c r="F7" s="241"/>
      <c r="G7" s="241"/>
      <c r="H7" s="241"/>
      <c r="I7" s="241"/>
      <c r="J7" s="241"/>
      <c r="K7" s="241"/>
      <c r="L7" s="241"/>
      <c r="M7" s="241"/>
      <c r="N7" s="269"/>
      <c r="O7" s="269"/>
      <c r="P7" s="2"/>
      <c r="R7" s="9"/>
    </row>
    <row r="8" spans="2:18" ht="24.95" customHeight="1">
      <c r="B8" s="25" t="s">
        <v>239</v>
      </c>
      <c r="C8" s="270">
        <f>C9+C13+C14</f>
        <v>414.93655066000002</v>
      </c>
      <c r="D8" s="246">
        <f>+D9+D13+D14</f>
        <v>320.92025098000005</v>
      </c>
      <c r="E8" s="246">
        <f t="shared" ref="E8:N8" si="0">+E9+E13+E14</f>
        <v>366.35101263400009</v>
      </c>
      <c r="F8" s="246">
        <f t="shared" si="0"/>
        <v>599.0047533500001</v>
      </c>
      <c r="G8" s="246">
        <f t="shared" si="0"/>
        <v>492.47411417000006</v>
      </c>
      <c r="H8" s="246">
        <f t="shared" si="0"/>
        <v>381.29149204999999</v>
      </c>
      <c r="I8" s="246">
        <f t="shared" si="0"/>
        <v>395.30264426999997</v>
      </c>
      <c r="J8" s="246">
        <f t="shared" si="0"/>
        <v>360.37029782999997</v>
      </c>
      <c r="K8" s="246">
        <f t="shared" si="0"/>
        <v>329.03611851000005</v>
      </c>
      <c r="L8" s="246">
        <f t="shared" si="0"/>
        <v>399.22019999999986</v>
      </c>
      <c r="M8" s="246">
        <f t="shared" si="0"/>
        <v>358.45270000000005</v>
      </c>
      <c r="N8" s="271">
        <f t="shared" si="0"/>
        <v>417.68639999999999</v>
      </c>
      <c r="O8" s="271">
        <f>SUM(C8:N8)</f>
        <v>4835.0465344539998</v>
      </c>
      <c r="P8" s="2"/>
      <c r="R8" s="9"/>
    </row>
    <row r="9" spans="2:18" ht="18" customHeight="1">
      <c r="B9" s="272" t="s">
        <v>240</v>
      </c>
      <c r="C9" s="244">
        <f>SUM(C10:C12)</f>
        <v>414.82167052</v>
      </c>
      <c r="D9" s="245">
        <f>SUM(D10:D12)</f>
        <v>320.23005283000003</v>
      </c>
      <c r="E9" s="245">
        <f t="shared" ref="E9:N9" si="1">SUM(E10:E12)</f>
        <v>362.80052206400006</v>
      </c>
      <c r="F9" s="245">
        <f t="shared" si="1"/>
        <v>597.37985049000008</v>
      </c>
      <c r="G9" s="245">
        <f t="shared" si="1"/>
        <v>490.34070763000005</v>
      </c>
      <c r="H9" s="245">
        <f t="shared" si="1"/>
        <v>378.87191890999998</v>
      </c>
      <c r="I9" s="245">
        <f t="shared" si="1"/>
        <v>393.57030686999997</v>
      </c>
      <c r="J9" s="245">
        <f t="shared" si="1"/>
        <v>359.68524203999999</v>
      </c>
      <c r="K9" s="245">
        <f t="shared" si="1"/>
        <v>327.70397529000007</v>
      </c>
      <c r="L9" s="245">
        <f t="shared" si="1"/>
        <v>398.47259999999989</v>
      </c>
      <c r="M9" s="245">
        <f t="shared" si="1"/>
        <v>357.67560000000003</v>
      </c>
      <c r="N9" s="247">
        <f t="shared" si="1"/>
        <v>416.46449999999999</v>
      </c>
      <c r="O9" s="271">
        <f>SUM(C9:N9)</f>
        <v>4818.0169466440002</v>
      </c>
      <c r="P9" s="2"/>
      <c r="R9" s="9"/>
    </row>
    <row r="10" spans="2:18">
      <c r="B10" s="265" t="s">
        <v>241</v>
      </c>
      <c r="C10" s="252">
        <v>399.70035278</v>
      </c>
      <c r="D10" s="250">
        <v>303.58973509000003</v>
      </c>
      <c r="E10" s="250">
        <v>340.80272416300005</v>
      </c>
      <c r="F10" s="250">
        <v>582.39626310000006</v>
      </c>
      <c r="G10" s="250">
        <v>470.43555910000003</v>
      </c>
      <c r="H10" s="250">
        <v>361.75586743999997</v>
      </c>
      <c r="I10" s="250">
        <v>338.32417461</v>
      </c>
      <c r="J10" s="250">
        <v>332.77641535999999</v>
      </c>
      <c r="K10" s="250">
        <v>312.45222980000005</v>
      </c>
      <c r="L10" s="250">
        <v>338.8649999999999</v>
      </c>
      <c r="M10" s="250">
        <v>342.44540000000001</v>
      </c>
      <c r="N10" s="251">
        <v>364.63559999999995</v>
      </c>
      <c r="O10" s="273">
        <f>SUM(C10:N10)</f>
        <v>4488.179321442999</v>
      </c>
      <c r="P10" s="2"/>
      <c r="R10" s="9"/>
    </row>
    <row r="11" spans="2:18">
      <c r="B11" s="265" t="s">
        <v>242</v>
      </c>
      <c r="C11" s="252">
        <v>15.12131774</v>
      </c>
      <c r="D11" s="250">
        <v>16.64031774</v>
      </c>
      <c r="E11" s="250">
        <v>21.997797901000002</v>
      </c>
      <c r="F11" s="250">
        <v>14.98358739</v>
      </c>
      <c r="G11" s="250">
        <v>17.934832529999998</v>
      </c>
      <c r="H11" s="250">
        <v>17.116051469999999</v>
      </c>
      <c r="I11" s="250">
        <v>50.246132259999996</v>
      </c>
      <c r="J11" s="250">
        <v>22.908826680000001</v>
      </c>
      <c r="K11" s="250">
        <v>15.251745490000001</v>
      </c>
      <c r="L11" s="250">
        <v>59.607599999999998</v>
      </c>
      <c r="M11" s="250">
        <v>15.230199999999998</v>
      </c>
      <c r="N11" s="251">
        <v>34.942900000000009</v>
      </c>
      <c r="O11" s="273">
        <f t="shared" ref="O11:O72" si="2">SUM(C11:N11)</f>
        <v>301.98130920099999</v>
      </c>
      <c r="P11" s="2"/>
      <c r="R11" s="9"/>
    </row>
    <row r="12" spans="2:18">
      <c r="B12" s="265" t="s">
        <v>243</v>
      </c>
      <c r="C12" s="252">
        <v>0</v>
      </c>
      <c r="D12" s="250">
        <v>0</v>
      </c>
      <c r="E12" s="250">
        <v>0</v>
      </c>
      <c r="F12" s="250">
        <v>0</v>
      </c>
      <c r="G12" s="250">
        <v>1.970316</v>
      </c>
      <c r="H12" s="250">
        <v>0</v>
      </c>
      <c r="I12" s="250">
        <v>5</v>
      </c>
      <c r="J12" s="250">
        <v>4</v>
      </c>
      <c r="K12" s="250">
        <v>0</v>
      </c>
      <c r="L12" s="250">
        <v>0</v>
      </c>
      <c r="M12" s="250">
        <v>0</v>
      </c>
      <c r="N12" s="251">
        <v>16.885999999999999</v>
      </c>
      <c r="O12" s="273">
        <f t="shared" si="2"/>
        <v>27.856316</v>
      </c>
      <c r="P12" s="2"/>
      <c r="R12" s="9"/>
    </row>
    <row r="13" spans="2:18" ht="18" customHeight="1">
      <c r="B13" s="272" t="s">
        <v>244</v>
      </c>
      <c r="C13" s="244">
        <v>0</v>
      </c>
      <c r="D13" s="245">
        <v>0</v>
      </c>
      <c r="E13" s="245">
        <v>0</v>
      </c>
      <c r="F13" s="245">
        <v>0</v>
      </c>
      <c r="G13" s="245">
        <v>0</v>
      </c>
      <c r="H13" s="245">
        <v>0</v>
      </c>
      <c r="I13" s="245">
        <v>0</v>
      </c>
      <c r="J13" s="245">
        <v>0</v>
      </c>
      <c r="K13" s="245">
        <v>0</v>
      </c>
      <c r="L13" s="245">
        <v>0</v>
      </c>
      <c r="M13" s="245">
        <v>0</v>
      </c>
      <c r="N13" s="247">
        <v>0</v>
      </c>
      <c r="O13" s="271">
        <f t="shared" si="2"/>
        <v>0</v>
      </c>
      <c r="P13" s="2"/>
      <c r="R13" s="9"/>
    </row>
    <row r="14" spans="2:18" ht="18" customHeight="1">
      <c r="B14" s="272" t="s">
        <v>245</v>
      </c>
      <c r="C14" s="244">
        <v>0.11488014000000001</v>
      </c>
      <c r="D14" s="245">
        <v>0.69019814999999995</v>
      </c>
      <c r="E14" s="245">
        <v>3.55049057</v>
      </c>
      <c r="F14" s="245">
        <v>1.6249028600000002</v>
      </c>
      <c r="G14" s="245">
        <v>2.1334065400000002</v>
      </c>
      <c r="H14" s="245">
        <v>2.4195731399999998</v>
      </c>
      <c r="I14" s="245">
        <v>1.7323374</v>
      </c>
      <c r="J14" s="245">
        <v>0.68505579000000005</v>
      </c>
      <c r="K14" s="245">
        <v>1.3321432199999999</v>
      </c>
      <c r="L14" s="245">
        <v>0.74759999999999993</v>
      </c>
      <c r="M14" s="245">
        <v>0.77710000000000001</v>
      </c>
      <c r="N14" s="247">
        <v>1.2219</v>
      </c>
      <c r="O14" s="271">
        <f t="shared" si="2"/>
        <v>17.029587810000002</v>
      </c>
      <c r="P14" s="2"/>
      <c r="R14" s="9"/>
    </row>
    <row r="15" spans="2:18" ht="24.95" customHeight="1">
      <c r="B15" s="25" t="s">
        <v>246</v>
      </c>
      <c r="C15" s="244">
        <f>+C16+C30+C41</f>
        <v>382.09755056999995</v>
      </c>
      <c r="D15" s="245">
        <f>+D16+D30+D41</f>
        <v>286.78108409999999</v>
      </c>
      <c r="E15" s="245">
        <f t="shared" ref="E15:N15" si="3">+E16+E30+E41</f>
        <v>434.06099415</v>
      </c>
      <c r="F15" s="245">
        <f t="shared" si="3"/>
        <v>403.51083027999994</v>
      </c>
      <c r="G15" s="245">
        <f t="shared" si="3"/>
        <v>498.51229035</v>
      </c>
      <c r="H15" s="245">
        <f t="shared" si="3"/>
        <v>353.40903297</v>
      </c>
      <c r="I15" s="245">
        <f t="shared" si="3"/>
        <v>415.31190843999997</v>
      </c>
      <c r="J15" s="245">
        <f t="shared" si="3"/>
        <v>317.75020146999998</v>
      </c>
      <c r="K15" s="245">
        <f t="shared" si="3"/>
        <v>308.75501590000005</v>
      </c>
      <c r="L15" s="245">
        <f t="shared" si="3"/>
        <v>394.70542215</v>
      </c>
      <c r="M15" s="245">
        <f t="shared" si="3"/>
        <v>435.35001070000004</v>
      </c>
      <c r="N15" s="247">
        <f t="shared" si="3"/>
        <v>553.29184916999998</v>
      </c>
      <c r="O15" s="271">
        <f t="shared" si="2"/>
        <v>4783.5361902499999</v>
      </c>
      <c r="P15" s="2"/>
      <c r="R15" s="9"/>
    </row>
    <row r="16" spans="2:18" ht="18" customHeight="1">
      <c r="B16" s="272" t="s">
        <v>247</v>
      </c>
      <c r="C16" s="244">
        <f>SUM(C17:C20)</f>
        <v>356.59080175999998</v>
      </c>
      <c r="D16" s="245">
        <f>SUM(D17:D20)</f>
        <v>250.85224592</v>
      </c>
      <c r="E16" s="245">
        <f t="shared" ref="E16:N16" si="4">SUM(E17:E20)</f>
        <v>332.03233811999996</v>
      </c>
      <c r="F16" s="245">
        <f t="shared" si="4"/>
        <v>345.82785467999997</v>
      </c>
      <c r="G16" s="245">
        <f t="shared" si="4"/>
        <v>424.00607556</v>
      </c>
      <c r="H16" s="245">
        <f t="shared" si="4"/>
        <v>304.74115346999997</v>
      </c>
      <c r="I16" s="245">
        <f t="shared" si="4"/>
        <v>380.94485371999997</v>
      </c>
      <c r="J16" s="245">
        <f t="shared" si="4"/>
        <v>278.34735214</v>
      </c>
      <c r="K16" s="245">
        <f t="shared" si="4"/>
        <v>263.65723244000003</v>
      </c>
      <c r="L16" s="245">
        <f t="shared" si="4"/>
        <v>334.08364619000002</v>
      </c>
      <c r="M16" s="245">
        <f t="shared" si="4"/>
        <v>356.03631498000004</v>
      </c>
      <c r="N16" s="247">
        <f t="shared" si="4"/>
        <v>491.19143714000001</v>
      </c>
      <c r="O16" s="271">
        <f t="shared" si="2"/>
        <v>4118.3113061200002</v>
      </c>
      <c r="P16" s="2"/>
      <c r="R16" s="9"/>
    </row>
    <row r="17" spans="2:18">
      <c r="B17" s="265" t="s">
        <v>136</v>
      </c>
      <c r="C17" s="252">
        <v>120.14141594000002</v>
      </c>
      <c r="D17" s="250">
        <v>120.24889807</v>
      </c>
      <c r="E17" s="250">
        <v>124.47303855</v>
      </c>
      <c r="F17" s="250">
        <v>121.32618424</v>
      </c>
      <c r="G17" s="250">
        <v>134.22608080000001</v>
      </c>
      <c r="H17" s="250">
        <v>126.50893377000001</v>
      </c>
      <c r="I17" s="250">
        <v>128.96677563</v>
      </c>
      <c r="J17" s="250">
        <v>120.31583445</v>
      </c>
      <c r="K17" s="250">
        <v>123.85135701</v>
      </c>
      <c r="L17" s="250">
        <v>125.34895977000002</v>
      </c>
      <c r="M17" s="250">
        <v>121.61093245000001</v>
      </c>
      <c r="N17" s="251">
        <v>195.02231648999998</v>
      </c>
      <c r="O17" s="273">
        <f t="shared" si="2"/>
        <v>1562.0407271700001</v>
      </c>
      <c r="P17" s="2"/>
      <c r="R17" s="9"/>
    </row>
    <row r="18" spans="2:18">
      <c r="B18" s="265" t="s">
        <v>248</v>
      </c>
      <c r="C18" s="252">
        <v>26.970145840000004</v>
      </c>
      <c r="D18" s="250">
        <v>21.531031859999995</v>
      </c>
      <c r="E18" s="250">
        <v>28.233797310000018</v>
      </c>
      <c r="F18" s="250">
        <v>33.05792082</v>
      </c>
      <c r="G18" s="250">
        <v>83.128042300000033</v>
      </c>
      <c r="H18" s="250">
        <v>29.831681290000002</v>
      </c>
      <c r="I18" s="250">
        <v>17.423562960000002</v>
      </c>
      <c r="J18" s="250">
        <v>21.500433340000001</v>
      </c>
      <c r="K18" s="250">
        <v>30.422035820000001</v>
      </c>
      <c r="L18" s="250">
        <v>51.407699750000006</v>
      </c>
      <c r="M18" s="250">
        <v>43.101371669999999</v>
      </c>
      <c r="N18" s="251">
        <v>72.079604040000007</v>
      </c>
      <c r="O18" s="273">
        <f t="shared" si="2"/>
        <v>458.6873270000001</v>
      </c>
      <c r="P18" s="2"/>
      <c r="R18" s="9"/>
    </row>
    <row r="19" spans="2:18">
      <c r="B19" s="265" t="s">
        <v>249</v>
      </c>
      <c r="C19" s="252">
        <v>136.27195215999998</v>
      </c>
      <c r="D19" s="250">
        <v>38.149139590000004</v>
      </c>
      <c r="E19" s="250">
        <v>35.838890970000001</v>
      </c>
      <c r="F19" s="250">
        <v>68.831691589999991</v>
      </c>
      <c r="G19" s="250">
        <v>38.659337480000005</v>
      </c>
      <c r="H19" s="250">
        <v>66.82421579999999</v>
      </c>
      <c r="I19" s="250">
        <v>143.51693409000001</v>
      </c>
      <c r="J19" s="250">
        <v>60.419763909999993</v>
      </c>
      <c r="K19" s="250">
        <v>31.578397120000002</v>
      </c>
      <c r="L19" s="250">
        <v>33.433203380000002</v>
      </c>
      <c r="M19" s="250">
        <v>42.457972159999997</v>
      </c>
      <c r="N19" s="251">
        <v>63.288787310000004</v>
      </c>
      <c r="O19" s="273">
        <f t="shared" si="2"/>
        <v>759.27028555999993</v>
      </c>
      <c r="P19" s="2"/>
      <c r="R19" s="9"/>
    </row>
    <row r="20" spans="2:18">
      <c r="B20" s="265" t="s">
        <v>250</v>
      </c>
      <c r="C20" s="252">
        <f>SUM(C21:C29)</f>
        <v>73.207287820000005</v>
      </c>
      <c r="D20" s="250">
        <f>SUM(D21:D29)</f>
        <v>70.923176400000017</v>
      </c>
      <c r="E20" s="250">
        <f t="shared" ref="E20:N20" si="5">SUM(E21:E29)</f>
        <v>143.48661128999998</v>
      </c>
      <c r="F20" s="250">
        <f t="shared" si="5"/>
        <v>122.61205803</v>
      </c>
      <c r="G20" s="250">
        <f t="shared" si="5"/>
        <v>167.99261498000001</v>
      </c>
      <c r="H20" s="250">
        <f t="shared" si="5"/>
        <v>81.576322609999977</v>
      </c>
      <c r="I20" s="250">
        <f t="shared" si="5"/>
        <v>91.037581039999992</v>
      </c>
      <c r="J20" s="250">
        <f t="shared" si="5"/>
        <v>76.11132044</v>
      </c>
      <c r="K20" s="250">
        <f t="shared" si="5"/>
        <v>77.80544248999999</v>
      </c>
      <c r="L20" s="250">
        <f t="shared" si="5"/>
        <v>123.89378329</v>
      </c>
      <c r="M20" s="250">
        <f t="shared" si="5"/>
        <v>148.86603870000005</v>
      </c>
      <c r="N20" s="251">
        <f t="shared" si="5"/>
        <v>160.8007293</v>
      </c>
      <c r="O20" s="273">
        <f t="shared" si="2"/>
        <v>1338.3129663899999</v>
      </c>
      <c r="P20" s="2"/>
      <c r="R20" s="9"/>
    </row>
    <row r="21" spans="2:18">
      <c r="B21" s="274" t="s">
        <v>251</v>
      </c>
      <c r="C21" s="252">
        <v>44.639515129999999</v>
      </c>
      <c r="D21" s="250">
        <v>49.490219430000003</v>
      </c>
      <c r="E21" s="250">
        <v>58.794921000000002</v>
      </c>
      <c r="F21" s="250">
        <v>50.55196333</v>
      </c>
      <c r="G21" s="250">
        <v>74.185173629999994</v>
      </c>
      <c r="H21" s="250">
        <v>47.965761279999995</v>
      </c>
      <c r="I21" s="250">
        <v>46.37594726999999</v>
      </c>
      <c r="J21" s="250">
        <v>47.933505680000003</v>
      </c>
      <c r="K21" s="250">
        <v>51.984248540000003</v>
      </c>
      <c r="L21" s="250">
        <v>55.450655009999998</v>
      </c>
      <c r="M21" s="250">
        <v>52.811511260000003</v>
      </c>
      <c r="N21" s="251">
        <v>83.486453359999985</v>
      </c>
      <c r="O21" s="273">
        <f t="shared" si="2"/>
        <v>663.66987491999998</v>
      </c>
      <c r="P21" s="2"/>
      <c r="R21" s="9"/>
    </row>
    <row r="22" spans="2:18">
      <c r="B22" s="274" t="s">
        <v>252</v>
      </c>
      <c r="C22" s="252">
        <v>0</v>
      </c>
      <c r="D22" s="250">
        <v>0</v>
      </c>
      <c r="E22" s="250">
        <v>46</v>
      </c>
      <c r="F22" s="250">
        <v>0</v>
      </c>
      <c r="G22" s="250">
        <v>0</v>
      </c>
      <c r="H22" s="250">
        <v>0</v>
      </c>
      <c r="I22" s="250">
        <v>0</v>
      </c>
      <c r="J22" s="250">
        <v>0</v>
      </c>
      <c r="K22" s="250">
        <v>0</v>
      </c>
      <c r="L22" s="250">
        <v>0</v>
      </c>
      <c r="M22" s="250">
        <v>0</v>
      </c>
      <c r="N22" s="251">
        <v>1.0505100000000001</v>
      </c>
      <c r="O22" s="273">
        <f t="shared" si="2"/>
        <v>47.050510000000003</v>
      </c>
      <c r="P22" s="2"/>
      <c r="R22" s="9"/>
    </row>
    <row r="23" spans="2:18">
      <c r="B23" s="274" t="s">
        <v>253</v>
      </c>
      <c r="C23" s="252">
        <v>0.59644487999999996</v>
      </c>
      <c r="D23" s="250">
        <v>0.43912066999999999</v>
      </c>
      <c r="E23" s="250">
        <v>0.100495</v>
      </c>
      <c r="F23" s="250">
        <v>1.0055199500000001</v>
      </c>
      <c r="G23" s="250">
        <v>1.7266823099999999</v>
      </c>
      <c r="H23" s="250">
        <v>0.11622156</v>
      </c>
      <c r="I23" s="250">
        <v>16.207394770000001</v>
      </c>
      <c r="J23" s="250">
        <v>6.5379839999999995E-2</v>
      </c>
      <c r="K23" s="250">
        <v>6.3174640000000004E-2</v>
      </c>
      <c r="L23" s="250">
        <v>0.10913258000000001</v>
      </c>
      <c r="M23" s="250">
        <v>0.11128526</v>
      </c>
      <c r="N23" s="251">
        <v>9.665406E-2</v>
      </c>
      <c r="O23" s="273">
        <f t="shared" si="2"/>
        <v>20.637505519999998</v>
      </c>
      <c r="P23" s="2"/>
      <c r="R23" s="9"/>
    </row>
    <row r="24" spans="2:18">
      <c r="B24" s="274" t="s">
        <v>254</v>
      </c>
      <c r="C24" s="252">
        <v>22.558196889999998</v>
      </c>
      <c r="D24" s="250">
        <v>17.203431300000002</v>
      </c>
      <c r="E24" s="250">
        <v>30.869493500000001</v>
      </c>
      <c r="F24" s="250">
        <v>27.57635913</v>
      </c>
      <c r="G24" s="250">
        <v>54.972531489999994</v>
      </c>
      <c r="H24" s="250">
        <v>28.561194769999993</v>
      </c>
      <c r="I24" s="250">
        <v>23.102783740000003</v>
      </c>
      <c r="J24" s="250">
        <v>23.412483499999997</v>
      </c>
      <c r="K24" s="250">
        <v>20.999764420000002</v>
      </c>
      <c r="L24" s="250">
        <v>60.961602890000002</v>
      </c>
      <c r="M24" s="250">
        <v>89.192186260000028</v>
      </c>
      <c r="N24" s="251">
        <v>64.926754130000006</v>
      </c>
      <c r="O24" s="273">
        <f t="shared" si="2"/>
        <v>464.33678202000004</v>
      </c>
      <c r="P24" s="2"/>
      <c r="R24" s="9"/>
    </row>
    <row r="25" spans="2:18">
      <c r="B25" s="274" t="s">
        <v>255</v>
      </c>
      <c r="C25" s="252">
        <v>0.35416666000000002</v>
      </c>
      <c r="D25" s="250">
        <v>0</v>
      </c>
      <c r="E25" s="250">
        <v>0.81259627000000001</v>
      </c>
      <c r="F25" s="250">
        <v>0.03</v>
      </c>
      <c r="G25" s="250">
        <v>3.4432104099999998</v>
      </c>
      <c r="H25" s="250">
        <v>0.1993</v>
      </c>
      <c r="I25" s="250">
        <v>0.53466800000000003</v>
      </c>
      <c r="J25" s="250">
        <v>0.15</v>
      </c>
      <c r="K25" s="250">
        <v>0.47880499999999998</v>
      </c>
      <c r="L25" s="250">
        <v>0.58886468000000003</v>
      </c>
      <c r="M25" s="250">
        <v>0.5</v>
      </c>
      <c r="N25" s="251">
        <v>2.8499857500000001</v>
      </c>
      <c r="O25" s="273">
        <f t="shared" si="2"/>
        <v>9.9415967700000003</v>
      </c>
      <c r="P25" s="2"/>
      <c r="R25" s="9"/>
    </row>
    <row r="26" spans="2:18">
      <c r="B26" s="274" t="s">
        <v>256</v>
      </c>
      <c r="C26" s="252">
        <v>0.33973999999999999</v>
      </c>
      <c r="D26" s="250">
        <v>0.31904500000000002</v>
      </c>
      <c r="E26" s="250">
        <v>0.37798999999999999</v>
      </c>
      <c r="F26" s="250">
        <v>0.38730999999999999</v>
      </c>
      <c r="G26" s="250">
        <v>0.33584000000000003</v>
      </c>
      <c r="H26" s="250">
        <v>0.392675</v>
      </c>
      <c r="I26" s="250">
        <v>0.31708700000000001</v>
      </c>
      <c r="J26" s="250">
        <v>0.34883199999999998</v>
      </c>
      <c r="K26" s="250">
        <v>0.29639799999999999</v>
      </c>
      <c r="L26" s="250">
        <v>0.32482100000000003</v>
      </c>
      <c r="M26" s="250">
        <v>0.26947700000000002</v>
      </c>
      <c r="N26" s="251">
        <v>0.55746200000000001</v>
      </c>
      <c r="O26" s="273">
        <f t="shared" si="2"/>
        <v>4.2666769999999996</v>
      </c>
      <c r="P26" s="2"/>
      <c r="R26" s="9"/>
    </row>
    <row r="27" spans="2:18">
      <c r="B27" s="274" t="s">
        <v>257</v>
      </c>
      <c r="C27" s="252"/>
      <c r="D27" s="250"/>
      <c r="E27" s="250"/>
      <c r="F27" s="250"/>
      <c r="G27" s="250"/>
      <c r="H27" s="250"/>
      <c r="I27" s="250"/>
      <c r="J27" s="250"/>
      <c r="K27" s="250"/>
      <c r="L27" s="250"/>
      <c r="M27" s="250"/>
      <c r="N27" s="251"/>
      <c r="O27" s="273">
        <f t="shared" si="2"/>
        <v>0</v>
      </c>
      <c r="P27" s="2"/>
      <c r="R27" s="9"/>
    </row>
    <row r="28" spans="2:18">
      <c r="B28" s="274" t="s">
        <v>258</v>
      </c>
      <c r="C28" s="252">
        <v>0</v>
      </c>
      <c r="D28" s="250">
        <v>0</v>
      </c>
      <c r="E28" s="250">
        <v>0</v>
      </c>
      <c r="F28" s="250">
        <v>0</v>
      </c>
      <c r="G28" s="250">
        <v>5.18086001</v>
      </c>
      <c r="H28" s="250">
        <v>0</v>
      </c>
      <c r="I28" s="250">
        <v>0.05</v>
      </c>
      <c r="J28" s="250">
        <v>0</v>
      </c>
      <c r="K28" s="250">
        <v>0</v>
      </c>
      <c r="L28" s="250">
        <v>2.4682071300000001</v>
      </c>
      <c r="M28" s="250">
        <v>1.30677892</v>
      </c>
      <c r="N28" s="251">
        <v>4.02461</v>
      </c>
      <c r="O28" s="273">
        <f t="shared" ref="O28" si="6">SUM(C28:N28)</f>
        <v>13.030456059999999</v>
      </c>
      <c r="P28" s="2"/>
      <c r="R28" s="9"/>
    </row>
    <row r="29" spans="2:18">
      <c r="B29" s="274" t="s">
        <v>626</v>
      </c>
      <c r="C29" s="252">
        <v>4.7192242599999998</v>
      </c>
      <c r="D29" s="250">
        <v>3.4713600000000002</v>
      </c>
      <c r="E29" s="250">
        <v>6.5311155200000002</v>
      </c>
      <c r="F29" s="250">
        <v>43.06090562</v>
      </c>
      <c r="G29" s="250">
        <v>28.148317129999999</v>
      </c>
      <c r="H29" s="250">
        <v>4.34117</v>
      </c>
      <c r="I29" s="250">
        <v>4.4497002600000002</v>
      </c>
      <c r="J29" s="250">
        <v>4.2011194200000004</v>
      </c>
      <c r="K29" s="250">
        <v>3.98305189</v>
      </c>
      <c r="L29" s="250">
        <v>3.9905000000000004</v>
      </c>
      <c r="M29" s="250">
        <v>4.6747999999999994</v>
      </c>
      <c r="N29" s="251">
        <v>3.8083</v>
      </c>
      <c r="O29" s="273">
        <f t="shared" si="2"/>
        <v>115.37956410000001</v>
      </c>
      <c r="P29" s="2"/>
      <c r="R29" s="9"/>
    </row>
    <row r="30" spans="2:18" ht="18" customHeight="1">
      <c r="B30" s="272" t="s">
        <v>259</v>
      </c>
      <c r="C30" s="244">
        <f>SUM(C31:C32)</f>
        <v>25.523055209999999</v>
      </c>
      <c r="D30" s="245">
        <f>SUM(D31:D32)</f>
        <v>35.944569810000004</v>
      </c>
      <c r="E30" s="245">
        <f t="shared" ref="E30:N30" si="7">SUM(E31:E32)</f>
        <v>102.03762303000001</v>
      </c>
      <c r="F30" s="245">
        <f t="shared" si="7"/>
        <v>57.702442599999998</v>
      </c>
      <c r="G30" s="245">
        <f t="shared" si="7"/>
        <v>74.479489089999987</v>
      </c>
      <c r="H30" s="245">
        <f t="shared" si="7"/>
        <v>49.115457340000013</v>
      </c>
      <c r="I30" s="245">
        <f t="shared" si="7"/>
        <v>44.822344720000004</v>
      </c>
      <c r="J30" s="245">
        <f t="shared" si="7"/>
        <v>39.468249329999999</v>
      </c>
      <c r="K30" s="245">
        <f t="shared" si="7"/>
        <v>45.097783460000002</v>
      </c>
      <c r="L30" s="245">
        <f t="shared" si="7"/>
        <v>60.621775960000008</v>
      </c>
      <c r="M30" s="245">
        <f t="shared" si="7"/>
        <v>79.313695719999998</v>
      </c>
      <c r="N30" s="247">
        <f t="shared" si="7"/>
        <v>62.100412030000001</v>
      </c>
      <c r="O30" s="271">
        <f t="shared" si="2"/>
        <v>676.22689830000002</v>
      </c>
      <c r="P30" s="2"/>
      <c r="R30" s="9"/>
    </row>
    <row r="31" spans="2:18">
      <c r="B31" s="265" t="s">
        <v>260</v>
      </c>
      <c r="C31" s="252">
        <v>4.5238974100000009</v>
      </c>
      <c r="D31" s="250">
        <v>6.3256354799999999</v>
      </c>
      <c r="E31" s="250">
        <v>22.453623899999997</v>
      </c>
      <c r="F31" s="250">
        <v>9.0693857900000019</v>
      </c>
      <c r="G31" s="250">
        <v>18.644306759999996</v>
      </c>
      <c r="H31" s="250">
        <v>9.9377374300000039</v>
      </c>
      <c r="I31" s="250">
        <v>13.052805579999999</v>
      </c>
      <c r="J31" s="250">
        <v>4.6070050799999995</v>
      </c>
      <c r="K31" s="250">
        <v>9.9532274600000008</v>
      </c>
      <c r="L31" s="250">
        <v>9.7066302100000001</v>
      </c>
      <c r="M31" s="250">
        <v>29.720504750000003</v>
      </c>
      <c r="N31" s="251">
        <v>18.784545220000002</v>
      </c>
      <c r="O31" s="273">
        <f t="shared" si="2"/>
        <v>156.77930506999999</v>
      </c>
      <c r="P31" s="2"/>
      <c r="R31" s="9"/>
    </row>
    <row r="32" spans="2:18">
      <c r="B32" s="265" t="s">
        <v>261</v>
      </c>
      <c r="C32" s="252">
        <f>SUM(C33:C40)</f>
        <v>20.999157799999999</v>
      </c>
      <c r="D32" s="250">
        <f>SUM(D33:D40)</f>
        <v>29.618934330000002</v>
      </c>
      <c r="E32" s="250">
        <f t="shared" ref="E32:N32" si="8">SUM(E33:E40)</f>
        <v>79.583999130000009</v>
      </c>
      <c r="F32" s="250">
        <f t="shared" si="8"/>
        <v>48.633056809999999</v>
      </c>
      <c r="G32" s="250">
        <f t="shared" si="8"/>
        <v>55.835182329999995</v>
      </c>
      <c r="H32" s="250">
        <f t="shared" si="8"/>
        <v>39.177719910000008</v>
      </c>
      <c r="I32" s="250">
        <f t="shared" si="8"/>
        <v>31.769539140000003</v>
      </c>
      <c r="J32" s="250">
        <f t="shared" si="8"/>
        <v>34.861244249999999</v>
      </c>
      <c r="K32" s="250">
        <f t="shared" si="8"/>
        <v>35.144556000000001</v>
      </c>
      <c r="L32" s="250">
        <f t="shared" si="8"/>
        <v>50.915145750000008</v>
      </c>
      <c r="M32" s="250">
        <f t="shared" si="8"/>
        <v>49.593190970000002</v>
      </c>
      <c r="N32" s="251">
        <f t="shared" si="8"/>
        <v>43.315866810000003</v>
      </c>
      <c r="O32" s="273">
        <f t="shared" si="2"/>
        <v>519.44759323000005</v>
      </c>
      <c r="P32" s="2"/>
      <c r="R32" s="9"/>
    </row>
    <row r="33" spans="1:18">
      <c r="B33" s="274" t="s">
        <v>251</v>
      </c>
      <c r="C33" s="252">
        <v>7.7634981899999991</v>
      </c>
      <c r="D33" s="250">
        <v>25.04417887</v>
      </c>
      <c r="E33" s="250">
        <v>55.430250000000001</v>
      </c>
      <c r="F33" s="250">
        <v>29.365157050000001</v>
      </c>
      <c r="G33" s="250">
        <v>29.00489331</v>
      </c>
      <c r="H33" s="250">
        <v>28.833015030000002</v>
      </c>
      <c r="I33" s="250">
        <v>28.653017860000002</v>
      </c>
      <c r="J33" s="250">
        <v>28.759657280000003</v>
      </c>
      <c r="K33" s="250">
        <v>28.779492610000002</v>
      </c>
      <c r="L33" s="250">
        <v>28.813986830000001</v>
      </c>
      <c r="M33" s="250">
        <v>28.331163110000002</v>
      </c>
      <c r="N33" s="251">
        <v>28.485466049999999</v>
      </c>
      <c r="O33" s="273">
        <f t="shared" si="2"/>
        <v>347.26377618999999</v>
      </c>
      <c r="P33" s="2"/>
      <c r="R33" s="9"/>
    </row>
    <row r="34" spans="1:18">
      <c r="B34" s="274" t="s">
        <v>252</v>
      </c>
      <c r="C34" s="252">
        <v>0</v>
      </c>
      <c r="D34" s="250">
        <v>0</v>
      </c>
      <c r="E34" s="250">
        <v>0</v>
      </c>
      <c r="F34" s="250">
        <v>2.5000000000000001E-2</v>
      </c>
      <c r="G34" s="250">
        <v>0</v>
      </c>
      <c r="H34" s="250">
        <v>0</v>
      </c>
      <c r="I34" s="250">
        <v>0</v>
      </c>
      <c r="J34" s="250">
        <v>0</v>
      </c>
      <c r="K34" s="250">
        <v>0</v>
      </c>
      <c r="L34" s="250">
        <v>0</v>
      </c>
      <c r="M34" s="250">
        <v>0.24476924</v>
      </c>
      <c r="N34" s="251">
        <v>0</v>
      </c>
      <c r="O34" s="273">
        <f t="shared" si="2"/>
        <v>0.26976924000000002</v>
      </c>
      <c r="P34" s="2"/>
      <c r="R34" s="9"/>
    </row>
    <row r="35" spans="1:18">
      <c r="B35" s="274" t="s">
        <v>253</v>
      </c>
      <c r="C35" s="252">
        <v>0</v>
      </c>
      <c r="D35" s="250">
        <v>0</v>
      </c>
      <c r="E35" s="250">
        <v>0</v>
      </c>
      <c r="F35" s="250">
        <v>0.21089189999999999</v>
      </c>
      <c r="G35" s="250">
        <v>0</v>
      </c>
      <c r="H35" s="250">
        <v>0</v>
      </c>
      <c r="I35" s="250">
        <v>0</v>
      </c>
      <c r="J35" s="250">
        <v>0</v>
      </c>
      <c r="K35" s="250">
        <v>0</v>
      </c>
      <c r="L35" s="250">
        <v>0</v>
      </c>
      <c r="M35" s="250">
        <v>2.10642927</v>
      </c>
      <c r="N35" s="251">
        <v>0.1</v>
      </c>
      <c r="O35" s="273">
        <f t="shared" si="2"/>
        <v>2.4173211700000001</v>
      </c>
      <c r="P35" s="2"/>
      <c r="R35" s="9"/>
    </row>
    <row r="36" spans="1:18">
      <c r="B36" s="274" t="s">
        <v>262</v>
      </c>
      <c r="C36" s="252">
        <v>0.8593569499999999</v>
      </c>
      <c r="D36" s="250">
        <v>1.4104946100000002</v>
      </c>
      <c r="E36" s="250">
        <v>4.5600000000000005</v>
      </c>
      <c r="F36" s="250">
        <v>1.7586871100000001</v>
      </c>
      <c r="G36" s="250">
        <v>2.4817200000000001</v>
      </c>
      <c r="H36" s="250">
        <v>0.35</v>
      </c>
      <c r="I36" s="250">
        <v>0.39999999999999997</v>
      </c>
      <c r="J36" s="250">
        <v>0.60572499999999996</v>
      </c>
      <c r="K36" s="250">
        <v>1.3226600000000002</v>
      </c>
      <c r="L36" s="250">
        <v>6.3</v>
      </c>
      <c r="M36" s="250">
        <v>4.2620416700000003</v>
      </c>
      <c r="N36" s="251">
        <v>2.9547003300000001</v>
      </c>
      <c r="O36" s="273">
        <f t="shared" si="2"/>
        <v>27.265385670000001</v>
      </c>
      <c r="P36" s="2"/>
      <c r="R36" s="9"/>
    </row>
    <row r="37" spans="1:18">
      <c r="B37" s="274" t="s">
        <v>263</v>
      </c>
      <c r="C37" s="252">
        <v>5.2102220500000005</v>
      </c>
      <c r="D37" s="250">
        <v>1.6464459</v>
      </c>
      <c r="E37" s="250">
        <v>6.0064554699999997</v>
      </c>
      <c r="F37" s="250">
        <v>8.4264200999999996</v>
      </c>
      <c r="G37" s="250">
        <v>10.802059609999999</v>
      </c>
      <c r="H37" s="250">
        <v>8.4871026699999987</v>
      </c>
      <c r="I37" s="250">
        <v>1.1584109199999999</v>
      </c>
      <c r="J37" s="250">
        <v>3.9984380100000001</v>
      </c>
      <c r="K37" s="250">
        <v>3.5459029800000001</v>
      </c>
      <c r="L37" s="250">
        <v>6.0976215800000002</v>
      </c>
      <c r="M37" s="250">
        <v>5.6901712499999988</v>
      </c>
      <c r="N37" s="251">
        <v>3.2347373799999999</v>
      </c>
      <c r="O37" s="273">
        <f t="shared" si="2"/>
        <v>64.303987920000012</v>
      </c>
      <c r="P37" s="2"/>
      <c r="R37" s="9"/>
    </row>
    <row r="38" spans="1:18">
      <c r="B38" s="274" t="s">
        <v>264</v>
      </c>
      <c r="C38" s="252">
        <v>0</v>
      </c>
      <c r="D38" s="250">
        <v>0</v>
      </c>
      <c r="E38" s="250">
        <v>0</v>
      </c>
      <c r="F38" s="250">
        <v>0</v>
      </c>
      <c r="G38" s="250">
        <v>0</v>
      </c>
      <c r="H38" s="250">
        <v>0</v>
      </c>
      <c r="I38" s="250">
        <v>0</v>
      </c>
      <c r="J38" s="250">
        <v>0</v>
      </c>
      <c r="K38" s="250">
        <v>0</v>
      </c>
      <c r="L38" s="250">
        <v>0</v>
      </c>
      <c r="M38" s="250">
        <v>2</v>
      </c>
      <c r="N38" s="251">
        <v>0.70413499999999996</v>
      </c>
      <c r="O38" s="273">
        <f t="shared" si="2"/>
        <v>2.704135</v>
      </c>
      <c r="P38" s="2"/>
      <c r="R38" s="9"/>
    </row>
    <row r="39" spans="1:18">
      <c r="B39" s="274" t="s">
        <v>265</v>
      </c>
      <c r="C39" s="252">
        <v>0</v>
      </c>
      <c r="D39" s="250">
        <v>0</v>
      </c>
      <c r="E39" s="250">
        <v>0</v>
      </c>
      <c r="F39" s="250">
        <v>0</v>
      </c>
      <c r="G39" s="250">
        <v>0</v>
      </c>
      <c r="H39" s="250">
        <v>0</v>
      </c>
      <c r="I39" s="250">
        <v>0</v>
      </c>
      <c r="J39" s="250">
        <v>0</v>
      </c>
      <c r="K39" s="250">
        <v>0</v>
      </c>
      <c r="L39" s="250">
        <v>0</v>
      </c>
      <c r="M39" s="250">
        <v>0</v>
      </c>
      <c r="N39" s="251">
        <v>0</v>
      </c>
      <c r="O39" s="273">
        <f t="shared" si="2"/>
        <v>0</v>
      </c>
      <c r="P39" s="2"/>
      <c r="R39" s="9"/>
    </row>
    <row r="40" spans="1:18">
      <c r="B40" s="274" t="s">
        <v>266</v>
      </c>
      <c r="C40" s="252">
        <v>7.1660806099999999</v>
      </c>
      <c r="D40" s="250">
        <v>1.51781495</v>
      </c>
      <c r="E40" s="250">
        <v>13.58729366</v>
      </c>
      <c r="F40" s="250">
        <v>8.8469006500000003</v>
      </c>
      <c r="G40" s="250">
        <v>13.546509410000001</v>
      </c>
      <c r="H40" s="250">
        <v>1.5076022099999999</v>
      </c>
      <c r="I40" s="250">
        <v>1.5581103599999999</v>
      </c>
      <c r="J40" s="250">
        <v>1.4974239600000001</v>
      </c>
      <c r="K40" s="250">
        <v>1.4965004099999999</v>
      </c>
      <c r="L40" s="250">
        <v>9.7035373400000005</v>
      </c>
      <c r="M40" s="250">
        <v>6.9586164300000002</v>
      </c>
      <c r="N40" s="251">
        <v>7.8368280500000003</v>
      </c>
      <c r="O40" s="273">
        <f t="shared" si="2"/>
        <v>75.223218040000006</v>
      </c>
      <c r="P40" s="2"/>
      <c r="R40" s="9"/>
    </row>
    <row r="41" spans="1:18" ht="18" customHeight="1">
      <c r="B41" s="275" t="s">
        <v>267</v>
      </c>
      <c r="C41" s="257">
        <f>SUM(C42:C46)</f>
        <v>-1.6306399999999999E-2</v>
      </c>
      <c r="D41" s="258">
        <f>SUM(D42:D46)</f>
        <v>-1.573163E-2</v>
      </c>
      <c r="E41" s="258">
        <f t="shared" ref="E41:N41" si="9">SUM(E42:E46)</f>
        <v>-8.9669999999999993E-3</v>
      </c>
      <c r="F41" s="258">
        <f t="shared" si="9"/>
        <v>-1.9466999999999998E-2</v>
      </c>
      <c r="G41" s="258">
        <f t="shared" si="9"/>
        <v>2.6725700000000002E-2</v>
      </c>
      <c r="H41" s="258">
        <f t="shared" si="9"/>
        <v>-0.44757784</v>
      </c>
      <c r="I41" s="258">
        <f t="shared" si="9"/>
        <v>-10.45529</v>
      </c>
      <c r="J41" s="258">
        <f t="shared" si="9"/>
        <v>-6.54E-2</v>
      </c>
      <c r="K41" s="258">
        <f t="shared" si="9"/>
        <v>0</v>
      </c>
      <c r="L41" s="258">
        <f t="shared" si="9"/>
        <v>0</v>
      </c>
      <c r="M41" s="258">
        <f t="shared" si="9"/>
        <v>0</v>
      </c>
      <c r="N41" s="259">
        <f t="shared" si="9"/>
        <v>0</v>
      </c>
      <c r="O41" s="276">
        <f t="shared" si="2"/>
        <v>-11.002014170000001</v>
      </c>
      <c r="P41" s="2"/>
      <c r="R41" s="9"/>
    </row>
    <row r="42" spans="1:18">
      <c r="A42" s="254"/>
      <c r="B42" s="265" t="s">
        <v>251</v>
      </c>
      <c r="C42" s="252">
        <v>-1.6306399999999999E-2</v>
      </c>
      <c r="D42" s="250">
        <v>-8.9607000000000003E-3</v>
      </c>
      <c r="E42" s="250">
        <v>-8.9669999999999993E-3</v>
      </c>
      <c r="F42" s="250">
        <v>-8.9669999999999993E-3</v>
      </c>
      <c r="G42" s="250">
        <v>2.6725700000000002E-2</v>
      </c>
      <c r="H42" s="250">
        <v>-1.21907E-2</v>
      </c>
      <c r="I42" s="250">
        <v>0</v>
      </c>
      <c r="J42" s="250">
        <v>0</v>
      </c>
      <c r="K42" s="250">
        <v>0</v>
      </c>
      <c r="L42" s="250">
        <v>0</v>
      </c>
      <c r="M42" s="250">
        <v>0</v>
      </c>
      <c r="N42" s="251">
        <v>0</v>
      </c>
      <c r="O42" s="273">
        <f t="shared" si="2"/>
        <v>-2.8666100000000007E-2</v>
      </c>
      <c r="P42" s="2"/>
      <c r="R42" s="9"/>
    </row>
    <row r="43" spans="1:18">
      <c r="A43" s="254"/>
      <c r="B43" s="265" t="s">
        <v>252</v>
      </c>
      <c r="C43" s="252">
        <v>0</v>
      </c>
      <c r="D43" s="250">
        <v>0</v>
      </c>
      <c r="E43" s="250">
        <v>0</v>
      </c>
      <c r="F43" s="250">
        <v>0</v>
      </c>
      <c r="G43" s="250">
        <v>0</v>
      </c>
      <c r="H43" s="250">
        <v>-8.5000000000000006E-2</v>
      </c>
      <c r="I43" s="250">
        <v>-10.45529</v>
      </c>
      <c r="J43" s="250">
        <v>-6.54E-2</v>
      </c>
      <c r="K43" s="250">
        <v>0</v>
      </c>
      <c r="L43" s="250">
        <v>0</v>
      </c>
      <c r="M43" s="250">
        <v>0</v>
      </c>
      <c r="N43" s="251">
        <v>0</v>
      </c>
      <c r="O43" s="273">
        <f t="shared" si="2"/>
        <v>-10.605690000000001</v>
      </c>
      <c r="P43" s="2"/>
      <c r="R43" s="9"/>
    </row>
    <row r="44" spans="1:18">
      <c r="A44" s="254"/>
      <c r="B44" s="265" t="s">
        <v>253</v>
      </c>
      <c r="C44" s="252"/>
      <c r="D44" s="250">
        <v>-6.7709299999999997E-3</v>
      </c>
      <c r="E44" s="250"/>
      <c r="F44" s="250"/>
      <c r="G44" s="250"/>
      <c r="H44" s="250"/>
      <c r="I44" s="250"/>
      <c r="J44" s="250"/>
      <c r="K44" s="250"/>
      <c r="L44" s="250"/>
      <c r="M44" s="250"/>
      <c r="N44" s="251"/>
      <c r="O44" s="273">
        <f t="shared" si="2"/>
        <v>-6.7709299999999997E-3</v>
      </c>
      <c r="P44" s="2"/>
      <c r="R44" s="9"/>
    </row>
    <row r="45" spans="1:18">
      <c r="A45" s="254"/>
      <c r="B45" s="265" t="s">
        <v>254</v>
      </c>
      <c r="C45" s="252"/>
      <c r="D45" s="250"/>
      <c r="E45" s="250"/>
      <c r="F45" s="250">
        <v>-1.0500000000000001E-2</v>
      </c>
      <c r="G45" s="250"/>
      <c r="H45" s="250">
        <v>-0.35038713999999999</v>
      </c>
      <c r="I45" s="250"/>
      <c r="J45" s="250"/>
      <c r="K45" s="250"/>
      <c r="L45" s="250"/>
      <c r="M45" s="250"/>
      <c r="N45" s="251"/>
      <c r="O45" s="273">
        <f t="shared" si="2"/>
        <v>-0.36088714</v>
      </c>
      <c r="P45" s="2"/>
      <c r="R45" s="9"/>
    </row>
    <row r="46" spans="1:18">
      <c r="A46" s="254"/>
      <c r="B46" s="265" t="s">
        <v>268</v>
      </c>
      <c r="C46" s="252"/>
      <c r="D46" s="250"/>
      <c r="E46" s="250"/>
      <c r="F46" s="250"/>
      <c r="G46" s="250"/>
      <c r="H46" s="250"/>
      <c r="I46" s="250"/>
      <c r="J46" s="250"/>
      <c r="K46" s="250"/>
      <c r="L46" s="250"/>
      <c r="M46" s="250"/>
      <c r="N46" s="251"/>
      <c r="O46" s="273">
        <f t="shared" si="2"/>
        <v>0</v>
      </c>
      <c r="P46" s="2"/>
      <c r="R46" s="9"/>
    </row>
    <row r="47" spans="1:18" ht="24.95" customHeight="1">
      <c r="A47" s="254"/>
      <c r="B47" s="25" t="s">
        <v>269</v>
      </c>
      <c r="C47" s="244">
        <f>C9-C16</f>
        <v>58.230868760000021</v>
      </c>
      <c r="D47" s="245">
        <f>D9-D16</f>
        <v>69.377806910000032</v>
      </c>
      <c r="E47" s="245">
        <f t="shared" ref="E47:N47" si="10">E9-E16</f>
        <v>30.7681839440001</v>
      </c>
      <c r="F47" s="245">
        <f t="shared" si="10"/>
        <v>251.55199581000011</v>
      </c>
      <c r="G47" s="245">
        <f t="shared" si="10"/>
        <v>66.334632070000055</v>
      </c>
      <c r="H47" s="245">
        <f t="shared" si="10"/>
        <v>74.130765440000005</v>
      </c>
      <c r="I47" s="245">
        <f t="shared" si="10"/>
        <v>12.625453149999998</v>
      </c>
      <c r="J47" s="245">
        <f t="shared" si="10"/>
        <v>81.337889899999993</v>
      </c>
      <c r="K47" s="245">
        <f t="shared" si="10"/>
        <v>64.046742850000044</v>
      </c>
      <c r="L47" s="245">
        <f t="shared" si="10"/>
        <v>64.388953809999862</v>
      </c>
      <c r="M47" s="245">
        <f t="shared" si="10"/>
        <v>1.6392850199999884</v>
      </c>
      <c r="N47" s="247">
        <f t="shared" si="10"/>
        <v>-74.726937140000018</v>
      </c>
      <c r="O47" s="271">
        <f t="shared" si="2"/>
        <v>699.70564052400039</v>
      </c>
      <c r="P47" s="2"/>
      <c r="R47" s="9"/>
    </row>
    <row r="48" spans="1:18" ht="24.95" customHeight="1">
      <c r="A48" s="254"/>
      <c r="B48" s="25" t="s">
        <v>296</v>
      </c>
      <c r="C48" s="252"/>
      <c r="D48" s="250"/>
      <c r="E48" s="250"/>
      <c r="F48" s="250"/>
      <c r="G48" s="250"/>
      <c r="H48" s="250"/>
      <c r="I48" s="250"/>
      <c r="J48" s="250"/>
      <c r="K48" s="250"/>
      <c r="L48" s="250"/>
      <c r="M48" s="250"/>
      <c r="N48" s="251"/>
      <c r="O48" s="273"/>
      <c r="P48" s="2"/>
      <c r="R48" s="9"/>
    </row>
    <row r="49" spans="1:18" ht="18" customHeight="1">
      <c r="A49" s="254"/>
      <c r="B49" s="272" t="s">
        <v>272</v>
      </c>
      <c r="C49" s="244">
        <f>C8-C15</f>
        <v>32.83900009000007</v>
      </c>
      <c r="D49" s="245">
        <f>D8-D15</f>
        <v>34.139166880000062</v>
      </c>
      <c r="E49" s="245">
        <f t="shared" ref="E49:N49" si="11">E8-E15</f>
        <v>-67.709981515999914</v>
      </c>
      <c r="F49" s="245">
        <f t="shared" si="11"/>
        <v>195.49392307000016</v>
      </c>
      <c r="G49" s="245">
        <f t="shared" si="11"/>
        <v>-6.0381761799999367</v>
      </c>
      <c r="H49" s="245">
        <f t="shared" si="11"/>
        <v>27.88245907999999</v>
      </c>
      <c r="I49" s="245">
        <f t="shared" si="11"/>
        <v>-20.009264169999994</v>
      </c>
      <c r="J49" s="245">
        <f t="shared" si="11"/>
        <v>42.620096359999991</v>
      </c>
      <c r="K49" s="245">
        <f t="shared" si="11"/>
        <v>20.281102610000005</v>
      </c>
      <c r="L49" s="245">
        <f t="shared" si="11"/>
        <v>4.5147778499998594</v>
      </c>
      <c r="M49" s="245">
        <f t="shared" si="11"/>
        <v>-76.897310699999991</v>
      </c>
      <c r="N49" s="247">
        <f t="shared" si="11"/>
        <v>-135.60544916999999</v>
      </c>
      <c r="O49" s="271">
        <f t="shared" si="2"/>
        <v>51.510344204000319</v>
      </c>
      <c r="P49" s="2"/>
      <c r="R49" s="9"/>
    </row>
    <row r="50" spans="1:18" ht="18" customHeight="1">
      <c r="A50" s="254"/>
      <c r="B50" s="272" t="s">
        <v>273</v>
      </c>
      <c r="C50" s="244">
        <f>C49-C14</f>
        <v>32.724119950000073</v>
      </c>
      <c r="D50" s="245">
        <f>D49-D14</f>
        <v>33.448968730000061</v>
      </c>
      <c r="E50" s="245">
        <f t="shared" ref="E50:N50" si="12">E49-E14</f>
        <v>-71.260472085999908</v>
      </c>
      <c r="F50" s="245">
        <f t="shared" si="12"/>
        <v>193.86902021000017</v>
      </c>
      <c r="G50" s="245">
        <f t="shared" si="12"/>
        <v>-8.171582719999936</v>
      </c>
      <c r="H50" s="245">
        <f t="shared" si="12"/>
        <v>25.462885939999989</v>
      </c>
      <c r="I50" s="245">
        <f t="shared" si="12"/>
        <v>-21.741601569999993</v>
      </c>
      <c r="J50" s="245">
        <f t="shared" si="12"/>
        <v>41.935040569999991</v>
      </c>
      <c r="K50" s="245">
        <f t="shared" si="12"/>
        <v>18.948959390000006</v>
      </c>
      <c r="L50" s="245">
        <f t="shared" si="12"/>
        <v>3.7671778499998596</v>
      </c>
      <c r="M50" s="245">
        <f t="shared" si="12"/>
        <v>-77.674410699999996</v>
      </c>
      <c r="N50" s="247">
        <f t="shared" si="12"/>
        <v>-136.82734916999999</v>
      </c>
      <c r="O50" s="271">
        <f t="shared" si="2"/>
        <v>34.480756394000309</v>
      </c>
      <c r="P50" s="2"/>
      <c r="R50" s="9"/>
    </row>
    <row r="51" spans="1:18" ht="18" customHeight="1">
      <c r="A51" s="254"/>
      <c r="B51" s="272" t="s">
        <v>274</v>
      </c>
      <c r="C51" s="244">
        <f>C49-C74</f>
        <v>-11.059527939999924</v>
      </c>
      <c r="D51" s="245">
        <f>D49-D74</f>
        <v>-8.9302102499999378</v>
      </c>
      <c r="E51" s="245">
        <f t="shared" ref="E51:N51" si="13">E49-E74</f>
        <v>-112.21002228599991</v>
      </c>
      <c r="F51" s="245">
        <f t="shared" si="13"/>
        <v>152.20060260000017</v>
      </c>
      <c r="G51" s="245">
        <f t="shared" si="13"/>
        <v>-49.31300310999994</v>
      </c>
      <c r="H51" s="245">
        <f t="shared" si="13"/>
        <v>-16.416923050000008</v>
      </c>
      <c r="I51" s="245">
        <f t="shared" si="13"/>
        <v>-64.628251789999993</v>
      </c>
      <c r="J51" s="245">
        <f t="shared" si="13"/>
        <v>-1.4566225700000075</v>
      </c>
      <c r="K51" s="245">
        <f t="shared" si="13"/>
        <v>-25.353146589999994</v>
      </c>
      <c r="L51" s="245">
        <f t="shared" si="13"/>
        <v>-40.435965170000138</v>
      </c>
      <c r="M51" s="245">
        <f t="shared" si="13"/>
        <v>-129.23509795999999</v>
      </c>
      <c r="N51" s="247">
        <f t="shared" si="13"/>
        <v>-202.03842999</v>
      </c>
      <c r="O51" s="271">
        <f t="shared" si="2"/>
        <v>-508.87659810599968</v>
      </c>
      <c r="P51" s="2"/>
      <c r="R51" s="9"/>
    </row>
    <row r="52" spans="1:18" ht="24.95" customHeight="1">
      <c r="A52" s="254"/>
      <c r="B52" s="25" t="s">
        <v>275</v>
      </c>
      <c r="C52" s="244">
        <f>SUM(C53:C54)</f>
        <v>16.11695211</v>
      </c>
      <c r="D52" s="245">
        <f>SUM(D53:D54)</f>
        <v>558.84659622000004</v>
      </c>
      <c r="E52" s="245">
        <f t="shared" ref="E52:N52" si="14">SUM(E53:E54)</f>
        <v>-9.7741952800000007</v>
      </c>
      <c r="F52" s="245">
        <f t="shared" si="14"/>
        <v>-15.304856770000001</v>
      </c>
      <c r="G52" s="245">
        <f t="shared" si="14"/>
        <v>-13.929991379999999</v>
      </c>
      <c r="H52" s="245">
        <f t="shared" si="14"/>
        <v>-56.772168220000005</v>
      </c>
      <c r="I52" s="245">
        <f t="shared" si="14"/>
        <v>-8.3393596499999987</v>
      </c>
      <c r="J52" s="245">
        <f t="shared" si="14"/>
        <v>-77.549598740000008</v>
      </c>
      <c r="K52" s="245">
        <f t="shared" si="14"/>
        <v>-42.569593959999992</v>
      </c>
      <c r="L52" s="245">
        <f t="shared" si="14"/>
        <v>-17.651981370000001</v>
      </c>
      <c r="M52" s="245">
        <f t="shared" si="14"/>
        <v>-8.6231433100000014</v>
      </c>
      <c r="N52" s="247">
        <f t="shared" si="14"/>
        <v>-85.221514549999995</v>
      </c>
      <c r="O52" s="271">
        <f t="shared" si="2"/>
        <v>239.22714510000009</v>
      </c>
      <c r="P52" s="2"/>
      <c r="R52" s="9"/>
    </row>
    <row r="53" spans="1:18">
      <c r="A53" s="254"/>
      <c r="B53" s="35" t="s">
        <v>276</v>
      </c>
      <c r="C53" s="252">
        <v>28.974722419999999</v>
      </c>
      <c r="D53" s="250">
        <v>589.46596</v>
      </c>
      <c r="E53" s="250">
        <v>4.8085413600000004</v>
      </c>
      <c r="F53" s="250">
        <v>7.5850414199999996</v>
      </c>
      <c r="G53" s="250">
        <v>11.84560675</v>
      </c>
      <c r="H53" s="250">
        <v>17.997975189999998</v>
      </c>
      <c r="I53" s="250">
        <v>4.5199257800000003</v>
      </c>
      <c r="J53" s="250">
        <v>9.3318963000000004</v>
      </c>
      <c r="K53" s="250">
        <v>104.39809746</v>
      </c>
      <c r="L53" s="250">
        <v>6.42895796</v>
      </c>
      <c r="M53" s="250">
        <v>15.165091049999999</v>
      </c>
      <c r="N53" s="251">
        <v>37.960784940000003</v>
      </c>
      <c r="O53" s="273">
        <f t="shared" si="2"/>
        <v>838.48260063000032</v>
      </c>
      <c r="P53" s="2"/>
      <c r="R53" s="9"/>
    </row>
    <row r="54" spans="1:18">
      <c r="A54" s="254"/>
      <c r="B54" s="35" t="s">
        <v>277</v>
      </c>
      <c r="C54" s="252">
        <v>-12.857770309999999</v>
      </c>
      <c r="D54" s="250">
        <v>-30.619363779999997</v>
      </c>
      <c r="E54" s="250">
        <v>-14.58273664</v>
      </c>
      <c r="F54" s="250">
        <v>-22.88989819</v>
      </c>
      <c r="G54" s="250">
        <v>-25.775598129999999</v>
      </c>
      <c r="H54" s="250">
        <v>-74.770143410000003</v>
      </c>
      <c r="I54" s="250">
        <v>-12.85928543</v>
      </c>
      <c r="J54" s="250">
        <v>-86.881495040000004</v>
      </c>
      <c r="K54" s="250">
        <v>-146.96769141999999</v>
      </c>
      <c r="L54" s="250">
        <v>-24.08093933</v>
      </c>
      <c r="M54" s="250">
        <v>-23.788234360000001</v>
      </c>
      <c r="N54" s="251">
        <v>-123.18229948999999</v>
      </c>
      <c r="O54" s="273">
        <f t="shared" si="2"/>
        <v>-599.25545552999995</v>
      </c>
      <c r="P54" s="2"/>
      <c r="R54" s="9"/>
    </row>
    <row r="55" spans="1:18" ht="24.95" customHeight="1">
      <c r="A55" s="254"/>
      <c r="B55" s="25" t="s">
        <v>278</v>
      </c>
      <c r="C55" s="244">
        <f>+C56+C59+C62+C65+C66</f>
        <v>-48.95595220000007</v>
      </c>
      <c r="D55" s="245">
        <f t="shared" ref="D55:N55" si="15">+D56+D59+D62+D65+D66</f>
        <v>-592.9857631000001</v>
      </c>
      <c r="E55" s="245">
        <f t="shared" si="15"/>
        <v>77.484176795999872</v>
      </c>
      <c r="F55" s="245">
        <f t="shared" si="15"/>
        <v>-180.18906630000018</v>
      </c>
      <c r="G55" s="245">
        <f t="shared" si="15"/>
        <v>19.968167559999934</v>
      </c>
      <c r="H55" s="245">
        <f t="shared" si="15"/>
        <v>28.889709140000008</v>
      </c>
      <c r="I55" s="245">
        <f t="shared" si="15"/>
        <v>28.34862382</v>
      </c>
      <c r="J55" s="245">
        <f t="shared" si="15"/>
        <v>34.929502380000031</v>
      </c>
      <c r="K55" s="245">
        <f t="shared" si="15"/>
        <v>22.288491349999987</v>
      </c>
      <c r="L55" s="245">
        <f t="shared" si="15"/>
        <v>13.137203520000142</v>
      </c>
      <c r="M55" s="245">
        <f t="shared" si="15"/>
        <v>85.520454010000009</v>
      </c>
      <c r="N55" s="247">
        <f t="shared" si="15"/>
        <v>220.82696371999998</v>
      </c>
      <c r="O55" s="271">
        <f>SUM(C55:N55)</f>
        <v>-290.73748930400029</v>
      </c>
      <c r="P55" s="2"/>
      <c r="R55" s="9"/>
    </row>
    <row r="56" spans="1:18">
      <c r="A56" s="254"/>
      <c r="B56" s="35" t="s">
        <v>279</v>
      </c>
      <c r="C56" s="252">
        <f>+C57+C58</f>
        <v>-10.540806630000001</v>
      </c>
      <c r="D56" s="250">
        <f>+D57+D58</f>
        <v>-578.55016346000002</v>
      </c>
      <c r="E56" s="250">
        <f t="shared" ref="E56:N56" si="16">+E57+E58</f>
        <v>588.04792789999999</v>
      </c>
      <c r="F56" s="250">
        <f t="shared" si="16"/>
        <v>-36.401151839999997</v>
      </c>
      <c r="G56" s="250">
        <f t="shared" si="16"/>
        <v>-193.60599852999999</v>
      </c>
      <c r="H56" s="250">
        <f t="shared" si="16"/>
        <v>72.190258799999995</v>
      </c>
      <c r="I56" s="250">
        <f t="shared" si="16"/>
        <v>43.044738170000002</v>
      </c>
      <c r="J56" s="250">
        <f t="shared" si="16"/>
        <v>40.713580090000001</v>
      </c>
      <c r="K56" s="250">
        <f t="shared" si="16"/>
        <v>34.836877000000001</v>
      </c>
      <c r="L56" s="250">
        <f t="shared" si="16"/>
        <v>-42.909975170000003</v>
      </c>
      <c r="M56" s="250">
        <f t="shared" si="16"/>
        <v>7.6465829799999998</v>
      </c>
      <c r="N56" s="251">
        <f t="shared" si="16"/>
        <v>87.281422930000005</v>
      </c>
      <c r="O56" s="273">
        <f t="shared" si="2"/>
        <v>11.753292239999965</v>
      </c>
      <c r="P56" s="2"/>
      <c r="R56" s="9"/>
    </row>
    <row r="57" spans="1:18">
      <c r="A57" s="254"/>
      <c r="B57" s="265" t="s">
        <v>280</v>
      </c>
      <c r="C57" s="252"/>
      <c r="D57" s="250"/>
      <c r="E57" s="250"/>
      <c r="F57" s="250"/>
      <c r="G57" s="250"/>
      <c r="H57" s="250"/>
      <c r="I57" s="250"/>
      <c r="J57" s="250"/>
      <c r="K57" s="250"/>
      <c r="L57" s="250"/>
      <c r="M57" s="250"/>
      <c r="N57" s="251"/>
      <c r="O57" s="273">
        <f t="shared" si="2"/>
        <v>0</v>
      </c>
      <c r="P57" s="2"/>
      <c r="R57" s="9"/>
    </row>
    <row r="58" spans="1:18">
      <c r="A58" s="254"/>
      <c r="B58" s="265" t="s">
        <v>281</v>
      </c>
      <c r="C58" s="252">
        <v>-10.540806630000001</v>
      </c>
      <c r="D58" s="250">
        <v>-578.55016346000002</v>
      </c>
      <c r="E58" s="250">
        <v>588.04792789999999</v>
      </c>
      <c r="F58" s="250">
        <v>-36.401151839999997</v>
      </c>
      <c r="G58" s="250">
        <v>-193.60599852999999</v>
      </c>
      <c r="H58" s="250">
        <v>72.190258799999995</v>
      </c>
      <c r="I58" s="250">
        <v>43.044738170000002</v>
      </c>
      <c r="J58" s="250">
        <v>40.713580090000001</v>
      </c>
      <c r="K58" s="250">
        <v>34.836877000000001</v>
      </c>
      <c r="L58" s="250">
        <v>-42.909975170000003</v>
      </c>
      <c r="M58" s="250">
        <v>7.6465829799999998</v>
      </c>
      <c r="N58" s="251">
        <v>87.281422930000005</v>
      </c>
      <c r="O58" s="273">
        <f t="shared" si="2"/>
        <v>11.753292239999965</v>
      </c>
      <c r="P58" s="2"/>
      <c r="R58" s="9"/>
    </row>
    <row r="59" spans="1:18">
      <c r="A59" s="254"/>
      <c r="B59" s="35" t="s">
        <v>282</v>
      </c>
      <c r="C59" s="252">
        <f>+C60+C61</f>
        <v>4.4251825800000022</v>
      </c>
      <c r="D59" s="250">
        <f>+D60+D61</f>
        <v>7.1811103000000003</v>
      </c>
      <c r="E59" s="250">
        <f t="shared" ref="E59:N59" si="17">+E60+E61</f>
        <v>-290.43349816</v>
      </c>
      <c r="F59" s="250">
        <f t="shared" si="17"/>
        <v>-185.65274137</v>
      </c>
      <c r="G59" s="250">
        <f t="shared" si="17"/>
        <v>145.565</v>
      </c>
      <c r="H59" s="250">
        <f t="shared" si="17"/>
        <v>37.445999999999998</v>
      </c>
      <c r="I59" s="250">
        <f t="shared" si="17"/>
        <v>2.480079529999994</v>
      </c>
      <c r="J59" s="250">
        <f t="shared" si="17"/>
        <v>1.2959239799999995</v>
      </c>
      <c r="K59" s="250">
        <f t="shared" si="17"/>
        <v>2.2343743499999995</v>
      </c>
      <c r="L59" s="250">
        <f t="shared" si="17"/>
        <v>5.9756967799999998</v>
      </c>
      <c r="M59" s="250">
        <f t="shared" si="17"/>
        <v>19.11176687</v>
      </c>
      <c r="N59" s="251">
        <f t="shared" si="17"/>
        <v>57.720695689999999</v>
      </c>
      <c r="O59" s="273">
        <f t="shared" si="2"/>
        <v>-192.65040944999998</v>
      </c>
      <c r="P59" s="2"/>
      <c r="R59" s="9"/>
    </row>
    <row r="60" spans="1:18">
      <c r="A60" s="254"/>
      <c r="B60" s="265" t="s">
        <v>280</v>
      </c>
      <c r="C60" s="252">
        <v>5.7981825800000024</v>
      </c>
      <c r="D60" s="250">
        <v>-15.399889699999999</v>
      </c>
      <c r="E60" s="250">
        <v>-248.44849816000001</v>
      </c>
      <c r="F60" s="250">
        <v>1.87925863</v>
      </c>
      <c r="G60" s="250"/>
      <c r="H60" s="250"/>
      <c r="I60" s="250">
        <v>-19.097920470000005</v>
      </c>
      <c r="J60" s="250">
        <v>-9.6800760200000013</v>
      </c>
      <c r="K60" s="250">
        <v>0.55137434999999968</v>
      </c>
      <c r="L60" s="250">
        <v>31.256696779999999</v>
      </c>
      <c r="M60" s="250">
        <v>5.5567668700000006</v>
      </c>
      <c r="N60" s="251">
        <v>41.032695689999997</v>
      </c>
      <c r="O60" s="273">
        <f t="shared" si="2"/>
        <v>-206.55140945000005</v>
      </c>
      <c r="P60" s="2"/>
      <c r="R60" s="9"/>
    </row>
    <row r="61" spans="1:18">
      <c r="A61" s="254"/>
      <c r="B61" s="265" t="s">
        <v>281</v>
      </c>
      <c r="C61" s="252">
        <v>-1.373</v>
      </c>
      <c r="D61" s="250">
        <v>22.581</v>
      </c>
      <c r="E61" s="250">
        <v>-41.984999999999999</v>
      </c>
      <c r="F61" s="250">
        <v>-187.53200000000001</v>
      </c>
      <c r="G61" s="250">
        <v>145.565</v>
      </c>
      <c r="H61" s="250">
        <v>37.445999999999998</v>
      </c>
      <c r="I61" s="250">
        <v>21.577999999999999</v>
      </c>
      <c r="J61" s="250">
        <v>10.976000000000001</v>
      </c>
      <c r="K61" s="250">
        <v>1.6830000000000001</v>
      </c>
      <c r="L61" s="250">
        <v>-25.280999999999999</v>
      </c>
      <c r="M61" s="250">
        <v>13.555</v>
      </c>
      <c r="N61" s="251">
        <v>16.687999999999999</v>
      </c>
      <c r="O61" s="273">
        <f t="shared" si="2"/>
        <v>13.900999999999971</v>
      </c>
      <c r="P61" s="2"/>
      <c r="R61" s="9"/>
    </row>
    <row r="62" spans="1:18">
      <c r="A62" s="254"/>
      <c r="B62" s="35" t="s">
        <v>283</v>
      </c>
      <c r="C62" s="252">
        <f>+C63+C64</f>
        <v>0</v>
      </c>
      <c r="D62" s="250">
        <f>+D63+D64</f>
        <v>0</v>
      </c>
      <c r="E62" s="250">
        <f t="shared" ref="E62:N62" si="18">+E63+E64</f>
        <v>0</v>
      </c>
      <c r="F62" s="250">
        <f t="shared" si="18"/>
        <v>0</v>
      </c>
      <c r="G62" s="250">
        <f t="shared" si="18"/>
        <v>0</v>
      </c>
      <c r="H62" s="250">
        <f t="shared" si="18"/>
        <v>0</v>
      </c>
      <c r="I62" s="250">
        <f t="shared" si="18"/>
        <v>0</v>
      </c>
      <c r="J62" s="250">
        <f t="shared" si="18"/>
        <v>-2.5605416999999999</v>
      </c>
      <c r="K62" s="250">
        <f t="shared" si="18"/>
        <v>0</v>
      </c>
      <c r="L62" s="250">
        <f t="shared" si="18"/>
        <v>0</v>
      </c>
      <c r="M62" s="250">
        <f t="shared" si="18"/>
        <v>0</v>
      </c>
      <c r="N62" s="251">
        <f t="shared" si="18"/>
        <v>-0.47600822999999998</v>
      </c>
      <c r="O62" s="273">
        <f t="shared" si="2"/>
        <v>-3.0365499300000001</v>
      </c>
      <c r="P62" s="2"/>
      <c r="R62" s="9"/>
    </row>
    <row r="63" spans="1:18">
      <c r="A63" s="254"/>
      <c r="B63" s="265" t="s">
        <v>280</v>
      </c>
      <c r="C63" s="252"/>
      <c r="D63" s="250"/>
      <c r="E63" s="250"/>
      <c r="F63" s="250"/>
      <c r="G63" s="250"/>
      <c r="H63" s="250"/>
      <c r="I63" s="250"/>
      <c r="J63" s="250">
        <v>-2.5605416999999999</v>
      </c>
      <c r="K63" s="250"/>
      <c r="L63" s="250"/>
      <c r="M63" s="250"/>
      <c r="N63" s="251">
        <v>-0.47600822999999998</v>
      </c>
      <c r="O63" s="273">
        <f t="shared" si="2"/>
        <v>-3.0365499300000001</v>
      </c>
      <c r="P63" s="2"/>
      <c r="R63" s="9"/>
    </row>
    <row r="64" spans="1:18">
      <c r="A64" s="254"/>
      <c r="B64" s="265" t="s">
        <v>281</v>
      </c>
      <c r="C64" s="252"/>
      <c r="D64" s="250"/>
      <c r="E64" s="250"/>
      <c r="F64" s="250"/>
      <c r="G64" s="250"/>
      <c r="H64" s="250"/>
      <c r="I64" s="250"/>
      <c r="J64" s="250"/>
      <c r="K64" s="250"/>
      <c r="L64" s="250"/>
      <c r="M64" s="250"/>
      <c r="N64" s="251"/>
      <c r="O64" s="273">
        <f t="shared" si="2"/>
        <v>0</v>
      </c>
      <c r="P64" s="2"/>
      <c r="R64" s="9"/>
    </row>
    <row r="65" spans="1:18">
      <c r="A65" s="254"/>
      <c r="B65" s="35" t="s">
        <v>284</v>
      </c>
      <c r="C65" s="252">
        <v>7.807158839999996</v>
      </c>
      <c r="D65" s="250">
        <v>46.531207459999997</v>
      </c>
      <c r="E65" s="250">
        <v>-75.570297169999989</v>
      </c>
      <c r="F65" s="250">
        <v>55.009109609999996</v>
      </c>
      <c r="G65" s="250">
        <v>40.757029100000004</v>
      </c>
      <c r="H65" s="250">
        <v>47.56142414</v>
      </c>
      <c r="I65" s="250">
        <v>62.208727989999986</v>
      </c>
      <c r="J65" s="250">
        <v>71.207624119999991</v>
      </c>
      <c r="K65" s="250">
        <v>49.737929189999996</v>
      </c>
      <c r="L65" s="250">
        <v>60.548527120000003</v>
      </c>
      <c r="M65" s="250">
        <v>58.707018139999995</v>
      </c>
      <c r="N65" s="251">
        <v>150.60458575999999</v>
      </c>
      <c r="O65" s="273">
        <f t="shared" si="2"/>
        <v>575.11004430000003</v>
      </c>
      <c r="P65" s="2"/>
      <c r="R65" s="9"/>
    </row>
    <row r="66" spans="1:18">
      <c r="A66" s="254"/>
      <c r="B66" s="35" t="s">
        <v>285</v>
      </c>
      <c r="C66" s="252">
        <f>SUM(C67:C71)</f>
        <v>-50.647486990000068</v>
      </c>
      <c r="D66" s="250">
        <f>SUM(D67:D71)</f>
        <v>-68.147917400000068</v>
      </c>
      <c r="E66" s="250">
        <f t="shared" ref="E66:N66" si="19">SUM(E67:E71)</f>
        <v>-144.55995577400012</v>
      </c>
      <c r="F66" s="250">
        <f t="shared" si="19"/>
        <v>-13.144282700000161</v>
      </c>
      <c r="G66" s="250">
        <f t="shared" si="19"/>
        <v>27.252136989999926</v>
      </c>
      <c r="H66" s="250">
        <f t="shared" si="19"/>
        <v>-128.30797379999998</v>
      </c>
      <c r="I66" s="250">
        <f t="shared" si="19"/>
        <v>-79.384921869999985</v>
      </c>
      <c r="J66" s="250">
        <f t="shared" si="19"/>
        <v>-75.727084109999964</v>
      </c>
      <c r="K66" s="250">
        <f t="shared" si="19"/>
        <v>-64.520689190000013</v>
      </c>
      <c r="L66" s="250">
        <f t="shared" si="19"/>
        <v>-10.477045209999858</v>
      </c>
      <c r="M66" s="250">
        <f t="shared" si="19"/>
        <v>5.508602000000451E-2</v>
      </c>
      <c r="N66" s="251">
        <f t="shared" si="19"/>
        <v>-74.303732430000011</v>
      </c>
      <c r="O66" s="273">
        <f t="shared" si="2"/>
        <v>-681.91386646400019</v>
      </c>
      <c r="P66" s="2"/>
      <c r="R66" s="9"/>
    </row>
    <row r="67" spans="1:18">
      <c r="A67" s="254"/>
      <c r="B67" s="265" t="s">
        <v>286</v>
      </c>
      <c r="C67" s="252"/>
      <c r="D67" s="250"/>
      <c r="E67" s="250"/>
      <c r="F67" s="250"/>
      <c r="G67" s="250"/>
      <c r="H67" s="250"/>
      <c r="I67" s="250"/>
      <c r="J67" s="250"/>
      <c r="K67" s="250"/>
      <c r="L67" s="250"/>
      <c r="M67" s="250"/>
      <c r="N67" s="251"/>
      <c r="O67" s="273">
        <f t="shared" si="2"/>
        <v>0</v>
      </c>
      <c r="P67" s="2"/>
      <c r="R67" s="9"/>
    </row>
    <row r="68" spans="1:18">
      <c r="A68" s="254"/>
      <c r="B68" s="265" t="s">
        <v>287</v>
      </c>
      <c r="C68" s="252"/>
      <c r="D68" s="250"/>
      <c r="E68" s="250"/>
      <c r="F68" s="250"/>
      <c r="G68" s="250"/>
      <c r="H68" s="250"/>
      <c r="I68" s="250"/>
      <c r="J68" s="250"/>
      <c r="K68" s="250"/>
      <c r="L68" s="250"/>
      <c r="M68" s="250"/>
      <c r="N68" s="251"/>
      <c r="O68" s="273">
        <f t="shared" si="2"/>
        <v>0</v>
      </c>
      <c r="P68" s="2"/>
      <c r="R68" s="9"/>
    </row>
    <row r="69" spans="1:18">
      <c r="A69" s="254"/>
      <c r="B69" s="265" t="s">
        <v>288</v>
      </c>
      <c r="C69" s="252"/>
      <c r="D69" s="250"/>
      <c r="E69" s="250"/>
      <c r="F69" s="250"/>
      <c r="G69" s="250"/>
      <c r="H69" s="250"/>
      <c r="I69" s="250"/>
      <c r="J69" s="250"/>
      <c r="K69" s="250"/>
      <c r="L69" s="250"/>
      <c r="M69" s="250"/>
      <c r="N69" s="251"/>
      <c r="O69" s="273">
        <f t="shared" si="2"/>
        <v>0</v>
      </c>
      <c r="P69" s="2"/>
      <c r="R69" s="9"/>
    </row>
    <row r="70" spans="1:18">
      <c r="A70" s="254"/>
      <c r="B70" s="265" t="s">
        <v>289</v>
      </c>
      <c r="C70" s="252">
        <v>-43.898528029999994</v>
      </c>
      <c r="D70" s="250">
        <v>-43.069377129999999</v>
      </c>
      <c r="E70" s="250">
        <v>-44.500040769999998</v>
      </c>
      <c r="F70" s="250">
        <v>-43.293320469999998</v>
      </c>
      <c r="G70" s="250">
        <v>-43.274826930000003</v>
      </c>
      <c r="H70" s="250">
        <v>-44.299382129999998</v>
      </c>
      <c r="I70" s="250">
        <v>-44.618987619999999</v>
      </c>
      <c r="J70" s="250">
        <v>-44.076718929999998</v>
      </c>
      <c r="K70" s="250">
        <v>-45.634249199999999</v>
      </c>
      <c r="L70" s="250">
        <v>-44.950743019999997</v>
      </c>
      <c r="M70" s="250">
        <v>-52.337787259999999</v>
      </c>
      <c r="N70" s="251">
        <v>-66.432980819999997</v>
      </c>
      <c r="O70" s="273">
        <f t="shared" si="2"/>
        <v>-560.38694230999999</v>
      </c>
      <c r="P70" s="2"/>
      <c r="R70" s="9"/>
    </row>
    <row r="71" spans="1:18">
      <c r="A71" s="254"/>
      <c r="B71" s="265" t="s">
        <v>285</v>
      </c>
      <c r="C71" s="252">
        <v>-6.7489589600000741</v>
      </c>
      <c r="D71" s="250">
        <v>-25.078540270000076</v>
      </c>
      <c r="E71" s="250">
        <v>-100.05991500400012</v>
      </c>
      <c r="F71" s="250">
        <v>30.149037769999836</v>
      </c>
      <c r="G71" s="250">
        <v>70.526963919999929</v>
      </c>
      <c r="H71" s="250">
        <v>-84.008591669999987</v>
      </c>
      <c r="I71" s="250">
        <v>-34.765934249999987</v>
      </c>
      <c r="J71" s="250">
        <v>-31.650365179999973</v>
      </c>
      <c r="K71" s="250">
        <v>-18.886439990000014</v>
      </c>
      <c r="L71" s="250">
        <v>34.473697810000139</v>
      </c>
      <c r="M71" s="250">
        <v>52.392873280000003</v>
      </c>
      <c r="N71" s="251">
        <v>-7.8707516100000134</v>
      </c>
      <c r="O71" s="273">
        <f t="shared" si="2"/>
        <v>-121.52692415400031</v>
      </c>
      <c r="P71" s="2"/>
      <c r="R71" s="9"/>
    </row>
    <row r="72" spans="1:18" ht="24.95" customHeight="1">
      <c r="A72" s="254"/>
      <c r="B72" s="25" t="s">
        <v>290</v>
      </c>
      <c r="C72" s="244">
        <f>-C49-C52-C55</f>
        <v>0</v>
      </c>
      <c r="D72" s="245">
        <f>-D49-D52-D55</f>
        <v>0</v>
      </c>
      <c r="E72" s="245">
        <f t="shared" ref="E72:N72" si="20">-E49-E52-E55</f>
        <v>0</v>
      </c>
      <c r="F72" s="245">
        <f t="shared" si="20"/>
        <v>0</v>
      </c>
      <c r="G72" s="245">
        <f t="shared" si="20"/>
        <v>0</v>
      </c>
      <c r="H72" s="245">
        <f t="shared" si="20"/>
        <v>0</v>
      </c>
      <c r="I72" s="245">
        <f t="shared" si="20"/>
        <v>0</v>
      </c>
      <c r="J72" s="245">
        <f t="shared" si="20"/>
        <v>0</v>
      </c>
      <c r="K72" s="245">
        <f t="shared" si="20"/>
        <v>0</v>
      </c>
      <c r="L72" s="245">
        <f t="shared" si="20"/>
        <v>0</v>
      </c>
      <c r="M72" s="245">
        <f t="shared" si="20"/>
        <v>0</v>
      </c>
      <c r="N72" s="247">
        <f t="shared" si="20"/>
        <v>0</v>
      </c>
      <c r="O72" s="271">
        <f t="shared" si="2"/>
        <v>0</v>
      </c>
      <c r="P72" s="2"/>
      <c r="R72" s="9"/>
    </row>
    <row r="73" spans="1:18">
      <c r="A73" s="254"/>
      <c r="B73" s="42"/>
      <c r="C73" s="252"/>
      <c r="D73" s="250"/>
      <c r="E73" s="250"/>
      <c r="F73" s="250"/>
      <c r="G73" s="250"/>
      <c r="H73" s="250"/>
      <c r="I73" s="250"/>
      <c r="J73" s="250"/>
      <c r="K73" s="250"/>
      <c r="L73" s="250"/>
      <c r="M73" s="250"/>
      <c r="N73" s="251"/>
      <c r="O73" s="273"/>
      <c r="P73" s="2"/>
      <c r="R73" s="9"/>
    </row>
    <row r="74" spans="1:18" ht="24.95" customHeight="1">
      <c r="A74" s="254"/>
      <c r="B74" s="25" t="s">
        <v>291</v>
      </c>
      <c r="C74" s="244">
        <v>43.898528029999994</v>
      </c>
      <c r="D74" s="245">
        <v>43.069377129999999</v>
      </c>
      <c r="E74" s="245">
        <v>44.500040769999998</v>
      </c>
      <c r="F74" s="245">
        <v>43.293320469999998</v>
      </c>
      <c r="G74" s="245">
        <v>43.274826930000003</v>
      </c>
      <c r="H74" s="245">
        <v>44.299382129999998</v>
      </c>
      <c r="I74" s="245">
        <v>44.618987619999999</v>
      </c>
      <c r="J74" s="245">
        <v>44.076718929999998</v>
      </c>
      <c r="K74" s="245">
        <v>45.634249199999999</v>
      </c>
      <c r="L74" s="245">
        <v>44.950743019999997</v>
      </c>
      <c r="M74" s="245">
        <v>52.337787259999999</v>
      </c>
      <c r="N74" s="247">
        <v>66.432980819999997</v>
      </c>
      <c r="O74" s="271">
        <f>SUM(C74:N74)</f>
        <v>560.38694230999999</v>
      </c>
      <c r="P74" s="2"/>
      <c r="R74" s="9"/>
    </row>
    <row r="75" spans="1:18" ht="24.95" customHeight="1">
      <c r="A75" s="254"/>
      <c r="B75" s="25" t="s">
        <v>292</v>
      </c>
      <c r="C75" s="252"/>
      <c r="D75" s="250"/>
      <c r="E75" s="250"/>
      <c r="F75" s="250"/>
      <c r="G75" s="250"/>
      <c r="H75" s="250"/>
      <c r="I75" s="250"/>
      <c r="J75" s="250"/>
      <c r="K75" s="250"/>
      <c r="L75" s="250"/>
      <c r="M75" s="250"/>
      <c r="N75" s="251"/>
      <c r="O75" s="273">
        <f>SUM(C75:N75)</f>
        <v>0</v>
      </c>
      <c r="P75" s="2"/>
      <c r="R75" s="9"/>
    </row>
    <row r="76" spans="1:18" ht="24.95" customHeight="1">
      <c r="A76" s="254"/>
      <c r="B76" s="38" t="s">
        <v>56</v>
      </c>
      <c r="C76" s="285"/>
      <c r="D76" s="286"/>
      <c r="E76" s="286"/>
      <c r="F76" s="286"/>
      <c r="G76" s="286"/>
      <c r="H76" s="286"/>
      <c r="I76" s="286"/>
      <c r="J76" s="286"/>
      <c r="K76" s="286"/>
      <c r="L76" s="286"/>
      <c r="M76" s="286"/>
      <c r="N76" s="287"/>
      <c r="O76" s="284">
        <v>24927.97</v>
      </c>
      <c r="P76" s="2"/>
      <c r="R76" s="9"/>
    </row>
    <row r="77" spans="1:18" ht="6" customHeight="1">
      <c r="B77" s="2"/>
      <c r="C77" s="268"/>
      <c r="D77" s="268"/>
      <c r="E77" s="268"/>
      <c r="F77" s="268"/>
      <c r="G77" s="268"/>
      <c r="H77" s="268"/>
      <c r="I77" s="268"/>
      <c r="J77" s="268"/>
      <c r="K77" s="268"/>
      <c r="L77" s="268"/>
      <c r="M77" s="268"/>
      <c r="N77" s="268"/>
      <c r="O77" s="2"/>
      <c r="P77" s="2"/>
      <c r="R77" s="9"/>
    </row>
    <row r="78" spans="1:18">
      <c r="B78" s="2" t="s">
        <v>293</v>
      </c>
      <c r="C78" s="268"/>
      <c r="D78" s="268"/>
      <c r="E78" s="268"/>
      <c r="F78" s="268"/>
      <c r="G78" s="268"/>
      <c r="H78" s="268"/>
      <c r="I78" s="268"/>
      <c r="J78" s="268"/>
      <c r="K78" s="268"/>
      <c r="L78" s="268"/>
      <c r="M78" s="268"/>
      <c r="N78" s="268"/>
      <c r="O78" s="2"/>
      <c r="P78" s="2"/>
      <c r="R78" s="9"/>
    </row>
    <row r="79" spans="1:18">
      <c r="B79" s="2"/>
      <c r="C79" s="2"/>
      <c r="D79" s="2"/>
      <c r="E79" s="2"/>
      <c r="F79" s="2"/>
      <c r="G79" s="2"/>
      <c r="H79" s="2"/>
      <c r="I79" s="2"/>
      <c r="J79" s="2"/>
      <c r="K79" s="2"/>
      <c r="L79" s="2"/>
      <c r="M79" s="2"/>
      <c r="N79" s="2"/>
      <c r="O79" s="2"/>
      <c r="P79" s="2"/>
    </row>
    <row r="80" spans="1:18">
      <c r="B80" s="602"/>
    </row>
    <row r="81" spans="2:2">
      <c r="B81" s="602"/>
    </row>
  </sheetData>
  <printOptions horizontalCentered="1"/>
  <pageMargins left="0.7" right="0.7" top="0.75" bottom="0.75" header="0.3" footer="0.3"/>
  <pageSetup scale="39" orientation="landscape" r:id="rId1"/>
  <ignoredErrors>
    <ignoredError sqref="C9:H9" formulaRange="1"/>
    <ignoredError sqref="O28" formula="1"/>
  </ignoredError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R87"/>
  <sheetViews>
    <sheetView workbookViewId="0"/>
  </sheetViews>
  <sheetFormatPr baseColWidth="10" defaultRowHeight="15"/>
  <cols>
    <col min="1" max="1" width="1.7109375" customWidth="1"/>
    <col min="2" max="2" width="49" customWidth="1"/>
    <col min="3" max="14" width="9.28515625" customWidth="1"/>
    <col min="15" max="15" width="9.7109375" customWidth="1"/>
    <col min="16" max="16" width="1.7109375" customWidth="1"/>
    <col min="18" max="18" width="13.7109375" bestFit="1" customWidth="1"/>
  </cols>
  <sheetData>
    <row r="2" spans="2:18">
      <c r="B2" s="234" t="s">
        <v>18</v>
      </c>
      <c r="C2" s="2"/>
      <c r="D2" s="2"/>
      <c r="E2" s="2"/>
      <c r="F2" s="2"/>
      <c r="G2" s="2"/>
      <c r="H2" s="268"/>
      <c r="I2" s="268"/>
      <c r="J2" s="268"/>
      <c r="K2" s="268"/>
      <c r="L2" s="268"/>
      <c r="M2" s="268"/>
      <c r="N2" s="268"/>
      <c r="O2" s="268"/>
      <c r="P2" s="268"/>
    </row>
    <row r="3" spans="2:18">
      <c r="B3" s="234" t="s">
        <v>723</v>
      </c>
      <c r="C3" s="2"/>
      <c r="D3" s="2"/>
      <c r="E3" s="2"/>
      <c r="F3" s="2"/>
      <c r="G3" s="2"/>
      <c r="H3" s="268"/>
      <c r="I3" s="268"/>
      <c r="J3" s="268"/>
      <c r="K3" s="268"/>
      <c r="L3" s="268"/>
      <c r="M3" s="268"/>
      <c r="N3" s="268"/>
      <c r="O3" s="268"/>
      <c r="P3" s="268"/>
    </row>
    <row r="4" spans="2:18">
      <c r="B4" s="234" t="s">
        <v>19</v>
      </c>
      <c r="C4" s="2"/>
      <c r="D4" s="2"/>
      <c r="E4" s="2"/>
      <c r="F4" s="2"/>
      <c r="G4" s="2"/>
      <c r="H4" s="2"/>
      <c r="I4" s="2"/>
      <c r="J4" s="2"/>
      <c r="K4" s="2"/>
      <c r="L4" s="2"/>
      <c r="M4" s="2"/>
      <c r="N4" s="2"/>
      <c r="O4" s="2"/>
      <c r="P4" s="2"/>
      <c r="R4" s="9"/>
    </row>
    <row r="5" spans="2:18" ht="6" customHeight="1">
      <c r="B5" s="2"/>
      <c r="C5" s="2"/>
      <c r="D5" s="2"/>
      <c r="E5" s="2"/>
      <c r="F5" s="2"/>
      <c r="G5" s="2"/>
      <c r="H5" s="2"/>
      <c r="I5" s="2"/>
      <c r="J5" s="2"/>
      <c r="K5" s="2"/>
      <c r="L5" s="2"/>
      <c r="M5" s="2"/>
      <c r="N5" s="2"/>
      <c r="O5" s="2"/>
      <c r="P5" s="2"/>
      <c r="R5" s="9"/>
    </row>
    <row r="6" spans="2:18"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695</v>
      </c>
      <c r="P6" s="2"/>
      <c r="R6" s="9"/>
    </row>
    <row r="7" spans="2:18" ht="6" customHeight="1">
      <c r="B7" s="240"/>
      <c r="C7" s="240"/>
      <c r="D7" s="241"/>
      <c r="E7" s="241"/>
      <c r="F7" s="241"/>
      <c r="G7" s="241"/>
      <c r="H7" s="241"/>
      <c r="I7" s="241"/>
      <c r="J7" s="241"/>
      <c r="K7" s="241"/>
      <c r="L7" s="241"/>
      <c r="M7" s="241"/>
      <c r="N7" s="269"/>
      <c r="O7" s="269"/>
      <c r="P7" s="2"/>
      <c r="R7" s="9"/>
    </row>
    <row r="8" spans="2:18" ht="24.95" customHeight="1">
      <c r="B8" s="25" t="s">
        <v>239</v>
      </c>
      <c r="C8" s="270">
        <f>C9+C13+C14</f>
        <v>445.33211748999992</v>
      </c>
      <c r="D8" s="246">
        <f>+D9+D13+D14</f>
        <v>371.87012457999998</v>
      </c>
      <c r="E8" s="246">
        <f t="shared" ref="E8:N8" si="0">+E9+E13+E14</f>
        <v>373.90842931999998</v>
      </c>
      <c r="F8" s="246">
        <f t="shared" si="0"/>
        <v>814.09973944900003</v>
      </c>
      <c r="G8" s="246">
        <f t="shared" si="0"/>
        <v>369.00068851999993</v>
      </c>
      <c r="H8" s="246">
        <f t="shared" si="0"/>
        <v>372.50237830000003</v>
      </c>
      <c r="I8" s="246">
        <f t="shared" si="0"/>
        <v>402.39125554999998</v>
      </c>
      <c r="J8" s="246">
        <f t="shared" si="0"/>
        <v>383.68922142000002</v>
      </c>
      <c r="K8" s="246">
        <f t="shared" si="0"/>
        <v>362.52787681000001</v>
      </c>
      <c r="L8" s="246">
        <f t="shared" si="0"/>
        <v>381.99757115000006</v>
      </c>
      <c r="M8" s="246">
        <f t="shared" si="0"/>
        <v>373.86179128999999</v>
      </c>
      <c r="N8" s="271">
        <f t="shared" si="0"/>
        <v>404.28678687000001</v>
      </c>
      <c r="O8" s="271">
        <f>SUM(C8:N8)</f>
        <v>5055.4679807490011</v>
      </c>
      <c r="P8" s="2"/>
      <c r="R8" s="9"/>
    </row>
    <row r="9" spans="2:18" ht="18" customHeight="1">
      <c r="B9" s="272" t="s">
        <v>240</v>
      </c>
      <c r="C9" s="244">
        <f>SUM(C10:C12)</f>
        <v>445.08512297999994</v>
      </c>
      <c r="D9" s="245">
        <f>SUM(D10:D12)</f>
        <v>369.54667651</v>
      </c>
      <c r="E9" s="245">
        <f t="shared" ref="E9:N9" si="1">SUM(E10:E12)</f>
        <v>373.50115956999997</v>
      </c>
      <c r="F9" s="245">
        <f t="shared" si="1"/>
        <v>812.99621274900005</v>
      </c>
      <c r="G9" s="245">
        <f t="shared" si="1"/>
        <v>367.87499380999992</v>
      </c>
      <c r="H9" s="245">
        <f t="shared" si="1"/>
        <v>371.57980012000002</v>
      </c>
      <c r="I9" s="245">
        <f t="shared" si="1"/>
        <v>400.81604575</v>
      </c>
      <c r="J9" s="245">
        <f t="shared" si="1"/>
        <v>383.25454114000001</v>
      </c>
      <c r="K9" s="245">
        <f t="shared" si="1"/>
        <v>361.78899135</v>
      </c>
      <c r="L9" s="245">
        <f t="shared" si="1"/>
        <v>381.44264780000003</v>
      </c>
      <c r="M9" s="245">
        <f t="shared" si="1"/>
        <v>373.59456928999998</v>
      </c>
      <c r="N9" s="247">
        <f t="shared" si="1"/>
        <v>401.25592087000001</v>
      </c>
      <c r="O9" s="271">
        <f>SUM(C9:N9)</f>
        <v>5042.7366819390008</v>
      </c>
      <c r="P9" s="2"/>
      <c r="R9" s="9"/>
    </row>
    <row r="10" spans="2:18">
      <c r="B10" s="265" t="s">
        <v>241</v>
      </c>
      <c r="C10" s="252">
        <v>431.26347660999994</v>
      </c>
      <c r="D10" s="250">
        <v>337.62567568999998</v>
      </c>
      <c r="E10" s="250">
        <v>354.02883562999995</v>
      </c>
      <c r="F10" s="250">
        <v>789.95109948900006</v>
      </c>
      <c r="G10" s="250">
        <v>349.71272708999993</v>
      </c>
      <c r="H10" s="250">
        <v>354.9273</v>
      </c>
      <c r="I10" s="250">
        <v>367.14285868000002</v>
      </c>
      <c r="J10" s="250">
        <v>365.87977172000001</v>
      </c>
      <c r="K10" s="250">
        <v>340.52541669999999</v>
      </c>
      <c r="L10" s="250">
        <v>366.79836201000001</v>
      </c>
      <c r="M10" s="250">
        <v>359.79172616</v>
      </c>
      <c r="N10" s="251">
        <v>351.65469999999999</v>
      </c>
      <c r="O10" s="273">
        <f>SUM(C10:N10)</f>
        <v>4769.3019497790001</v>
      </c>
      <c r="P10" s="2"/>
      <c r="R10" s="9"/>
    </row>
    <row r="11" spans="2:18">
      <c r="B11" s="265" t="s">
        <v>242</v>
      </c>
      <c r="C11" s="252">
        <v>13.82164637</v>
      </c>
      <c r="D11" s="250">
        <v>31.921000820000003</v>
      </c>
      <c r="E11" s="250">
        <v>19.472323940000003</v>
      </c>
      <c r="F11" s="250">
        <v>23.045113260000001</v>
      </c>
      <c r="G11" s="250">
        <v>18.162266719999998</v>
      </c>
      <c r="H11" s="250">
        <v>16.652500119999999</v>
      </c>
      <c r="I11" s="250">
        <v>33.673187069999997</v>
      </c>
      <c r="J11" s="250">
        <v>17.37476942</v>
      </c>
      <c r="K11" s="250">
        <v>21.263574649999999</v>
      </c>
      <c r="L11" s="250">
        <v>14.64428579</v>
      </c>
      <c r="M11" s="250">
        <v>13.802843129999999</v>
      </c>
      <c r="N11" s="251">
        <v>31.6952</v>
      </c>
      <c r="O11" s="273">
        <f t="shared" ref="O11:O72" si="2">SUM(C11:N11)</f>
        <v>255.52871128999999</v>
      </c>
      <c r="P11" s="2"/>
      <c r="R11" s="9"/>
    </row>
    <row r="12" spans="2:18">
      <c r="B12" s="265" t="s">
        <v>243</v>
      </c>
      <c r="C12" s="252">
        <v>0</v>
      </c>
      <c r="D12" s="250">
        <v>0</v>
      </c>
      <c r="E12" s="250">
        <v>0</v>
      </c>
      <c r="F12" s="250">
        <v>0</v>
      </c>
      <c r="G12" s="250">
        <v>0</v>
      </c>
      <c r="H12" s="250">
        <v>0</v>
      </c>
      <c r="I12" s="250">
        <v>0</v>
      </c>
      <c r="J12" s="250">
        <v>0</v>
      </c>
      <c r="K12" s="250">
        <v>0</v>
      </c>
      <c r="L12" s="250">
        <v>0</v>
      </c>
      <c r="M12" s="250">
        <v>0</v>
      </c>
      <c r="N12" s="251">
        <v>17.906020869999999</v>
      </c>
      <c r="O12" s="273">
        <f t="shared" si="2"/>
        <v>17.906020869999999</v>
      </c>
      <c r="P12" s="2"/>
      <c r="R12" s="9"/>
    </row>
    <row r="13" spans="2:18" ht="18" customHeight="1">
      <c r="B13" s="272" t="s">
        <v>244</v>
      </c>
      <c r="C13" s="244">
        <v>0</v>
      </c>
      <c r="D13" s="245">
        <v>0</v>
      </c>
      <c r="E13" s="245">
        <v>0</v>
      </c>
      <c r="F13" s="245">
        <v>0</v>
      </c>
      <c r="G13" s="245">
        <v>0</v>
      </c>
      <c r="H13" s="245">
        <v>0</v>
      </c>
      <c r="I13" s="245"/>
      <c r="J13" s="245"/>
      <c r="K13" s="245"/>
      <c r="L13" s="245"/>
      <c r="M13" s="245"/>
      <c r="N13" s="247"/>
      <c r="O13" s="271">
        <f t="shared" si="2"/>
        <v>0</v>
      </c>
      <c r="P13" s="2"/>
      <c r="R13" s="9"/>
    </row>
    <row r="14" spans="2:18" ht="18" customHeight="1">
      <c r="B14" s="272" t="s">
        <v>245</v>
      </c>
      <c r="C14" s="244">
        <v>0.24699451</v>
      </c>
      <c r="D14" s="245">
        <v>2.32344807</v>
      </c>
      <c r="E14" s="245">
        <v>0.40726974999999999</v>
      </c>
      <c r="F14" s="245">
        <v>1.1035267</v>
      </c>
      <c r="G14" s="245">
        <v>1.1256947100000001</v>
      </c>
      <c r="H14" s="245">
        <v>0.92257818000000003</v>
      </c>
      <c r="I14" s="245">
        <v>1.5752097999999999</v>
      </c>
      <c r="J14" s="245">
        <v>0.43468028000000003</v>
      </c>
      <c r="K14" s="245">
        <v>0.7388854600000001</v>
      </c>
      <c r="L14" s="245">
        <v>0.55492334999999993</v>
      </c>
      <c r="M14" s="245">
        <v>0.26722200000000002</v>
      </c>
      <c r="N14" s="247">
        <v>3.0308659999999996</v>
      </c>
      <c r="O14" s="271">
        <f t="shared" si="2"/>
        <v>12.73129881</v>
      </c>
      <c r="P14" s="2"/>
      <c r="R14" s="9"/>
    </row>
    <row r="15" spans="2:18" ht="24.95" customHeight="1">
      <c r="B15" s="25" t="s">
        <v>246</v>
      </c>
      <c r="C15" s="244">
        <f>+C16+C30+C41</f>
        <v>403.80247436000002</v>
      </c>
      <c r="D15" s="245">
        <f>+D16+D30+D41</f>
        <v>405.34641564999998</v>
      </c>
      <c r="E15" s="245">
        <f t="shared" ref="E15:N15" si="3">+E16+E30+E41</f>
        <v>449.06608105000004</v>
      </c>
      <c r="F15" s="245">
        <f t="shared" si="3"/>
        <v>484.55264017000007</v>
      </c>
      <c r="G15" s="245">
        <f t="shared" si="3"/>
        <v>491.55623876999988</v>
      </c>
      <c r="H15" s="245">
        <f t="shared" si="3"/>
        <v>454.35469445999996</v>
      </c>
      <c r="I15" s="245">
        <f t="shared" si="3"/>
        <v>484.39446676</v>
      </c>
      <c r="J15" s="245">
        <f t="shared" si="3"/>
        <v>415.35632938999998</v>
      </c>
      <c r="K15" s="245">
        <f t="shared" si="3"/>
        <v>410.57148636599999</v>
      </c>
      <c r="L15" s="245">
        <f t="shared" si="3"/>
        <v>403.62609614999997</v>
      </c>
      <c r="M15" s="245">
        <f t="shared" si="3"/>
        <v>375.93381115000005</v>
      </c>
      <c r="N15" s="247">
        <f t="shared" si="3"/>
        <v>522.96265137</v>
      </c>
      <c r="O15" s="271">
        <f t="shared" si="2"/>
        <v>5301.523385646</v>
      </c>
      <c r="P15" s="2"/>
      <c r="R15" s="9"/>
    </row>
    <row r="16" spans="2:18" ht="18" customHeight="1">
      <c r="B16" s="272" t="s">
        <v>247</v>
      </c>
      <c r="C16" s="244">
        <f>SUM(C17:C20)</f>
        <v>364.51188726999999</v>
      </c>
      <c r="D16" s="245">
        <f>SUM(D17:D20)</f>
        <v>350.24728492999998</v>
      </c>
      <c r="E16" s="245">
        <f t="shared" ref="E16:N16" si="4">SUM(E17:E20)</f>
        <v>386.10234128000002</v>
      </c>
      <c r="F16" s="245">
        <f t="shared" si="4"/>
        <v>408.33858567000004</v>
      </c>
      <c r="G16" s="245">
        <f t="shared" si="4"/>
        <v>417.93298986999991</v>
      </c>
      <c r="H16" s="245">
        <f t="shared" si="4"/>
        <v>394.99558099999996</v>
      </c>
      <c r="I16" s="245">
        <f t="shared" si="4"/>
        <v>426.64956717000001</v>
      </c>
      <c r="J16" s="245">
        <f t="shared" si="4"/>
        <v>356.64800747999999</v>
      </c>
      <c r="K16" s="245">
        <f t="shared" si="4"/>
        <v>357.062696716</v>
      </c>
      <c r="L16" s="245">
        <f t="shared" si="4"/>
        <v>347.37014211999997</v>
      </c>
      <c r="M16" s="245">
        <f t="shared" si="4"/>
        <v>324.67908273</v>
      </c>
      <c r="N16" s="247">
        <f t="shared" si="4"/>
        <v>447.90150048999999</v>
      </c>
      <c r="O16" s="271">
        <f t="shared" si="2"/>
        <v>4582.4396667259998</v>
      </c>
      <c r="P16" s="2"/>
      <c r="R16" s="9"/>
    </row>
    <row r="17" spans="2:18">
      <c r="B17" s="265" t="s">
        <v>136</v>
      </c>
      <c r="C17" s="252">
        <v>124.56242484999999</v>
      </c>
      <c r="D17" s="250">
        <v>123.82223856999998</v>
      </c>
      <c r="E17" s="250">
        <v>133.14853650999999</v>
      </c>
      <c r="F17" s="250">
        <v>127.72470169</v>
      </c>
      <c r="G17" s="250">
        <v>132.63856900999997</v>
      </c>
      <c r="H17" s="250">
        <v>145.54174798999998</v>
      </c>
      <c r="I17" s="250">
        <v>134.95774417000001</v>
      </c>
      <c r="J17" s="250">
        <v>127.17400764</v>
      </c>
      <c r="K17" s="250">
        <v>127.41843738999999</v>
      </c>
      <c r="L17" s="250">
        <v>127.43133379</v>
      </c>
      <c r="M17" s="250">
        <v>127.99621884</v>
      </c>
      <c r="N17" s="251">
        <v>198.72352300999998</v>
      </c>
      <c r="O17" s="273">
        <f t="shared" si="2"/>
        <v>1631.1394834599998</v>
      </c>
      <c r="P17" s="2"/>
      <c r="R17" s="9"/>
    </row>
    <row r="18" spans="2:18">
      <c r="B18" s="265" t="s">
        <v>248</v>
      </c>
      <c r="C18" s="252">
        <v>25.052004060000002</v>
      </c>
      <c r="D18" s="250">
        <v>44.171677909999993</v>
      </c>
      <c r="E18" s="250">
        <v>40.300774060000002</v>
      </c>
      <c r="F18" s="250">
        <v>48.920892819999992</v>
      </c>
      <c r="G18" s="250">
        <v>73.944840869999993</v>
      </c>
      <c r="H18" s="250">
        <v>34.710121010000002</v>
      </c>
      <c r="I18" s="250">
        <v>46.013479590000003</v>
      </c>
      <c r="J18" s="250">
        <v>58.370441150000005</v>
      </c>
      <c r="K18" s="250">
        <v>35.510956530000001</v>
      </c>
      <c r="L18" s="250">
        <v>43.635298919999997</v>
      </c>
      <c r="M18" s="250">
        <v>35.073567220000001</v>
      </c>
      <c r="N18" s="251">
        <v>34.362104200000005</v>
      </c>
      <c r="O18" s="273">
        <f t="shared" si="2"/>
        <v>520.06615834000002</v>
      </c>
      <c r="P18" s="2"/>
      <c r="R18" s="9"/>
    </row>
    <row r="19" spans="2:18">
      <c r="B19" s="265" t="s">
        <v>249</v>
      </c>
      <c r="C19" s="686">
        <v>127.51450564</v>
      </c>
      <c r="D19" s="301">
        <v>54.068232770000002</v>
      </c>
      <c r="E19" s="301">
        <v>97.343811220000006</v>
      </c>
      <c r="F19" s="301">
        <v>40.160504070000002</v>
      </c>
      <c r="G19" s="301">
        <v>44.855101140000002</v>
      </c>
      <c r="H19" s="301">
        <v>99.218222010000005</v>
      </c>
      <c r="I19" s="250">
        <v>122.84284782999998</v>
      </c>
      <c r="J19" s="250">
        <v>56.017100320000004</v>
      </c>
      <c r="K19" s="250">
        <v>76.316647920000008</v>
      </c>
      <c r="L19" s="250">
        <v>47.514744280000002</v>
      </c>
      <c r="M19" s="250">
        <v>42.857712039999996</v>
      </c>
      <c r="N19" s="251">
        <v>68.323184650000002</v>
      </c>
      <c r="O19" s="273">
        <f t="shared" si="2"/>
        <v>877.03261389000022</v>
      </c>
      <c r="P19" s="2"/>
      <c r="R19" s="9"/>
    </row>
    <row r="20" spans="2:18">
      <c r="B20" s="265" t="s">
        <v>250</v>
      </c>
      <c r="C20" s="252">
        <f>SUM(C21:C29)</f>
        <v>87.382952720000006</v>
      </c>
      <c r="D20" s="250">
        <f>SUM(D21:D29)</f>
        <v>128.18513567999997</v>
      </c>
      <c r="E20" s="250">
        <f t="shared" ref="E20:N20" si="5">SUM(E21:E29)</f>
        <v>115.30921949</v>
      </c>
      <c r="F20" s="250">
        <f t="shared" si="5"/>
        <v>191.53248709000002</v>
      </c>
      <c r="G20" s="250">
        <f t="shared" si="5"/>
        <v>166.49447884999998</v>
      </c>
      <c r="H20" s="250">
        <f t="shared" si="5"/>
        <v>115.52548998999998</v>
      </c>
      <c r="I20" s="250">
        <f t="shared" si="5"/>
        <v>122.83549558</v>
      </c>
      <c r="J20" s="250">
        <f t="shared" si="5"/>
        <v>115.08645836999999</v>
      </c>
      <c r="K20" s="250">
        <f t="shared" si="5"/>
        <v>117.81665487600002</v>
      </c>
      <c r="L20" s="250">
        <f t="shared" si="5"/>
        <v>128.78876513</v>
      </c>
      <c r="M20" s="250">
        <f t="shared" si="5"/>
        <v>118.75158463</v>
      </c>
      <c r="N20" s="251">
        <f t="shared" si="5"/>
        <v>146.49268863</v>
      </c>
      <c r="O20" s="273">
        <f t="shared" si="2"/>
        <v>1554.2014110360001</v>
      </c>
      <c r="P20" s="2"/>
      <c r="R20" s="9"/>
    </row>
    <row r="21" spans="2:18">
      <c r="B21" s="274" t="s">
        <v>251</v>
      </c>
      <c r="C21" s="252">
        <v>51.347364500000005</v>
      </c>
      <c r="D21" s="250">
        <v>68.212153049999984</v>
      </c>
      <c r="E21" s="250">
        <v>64.167508210000008</v>
      </c>
      <c r="F21" s="250">
        <v>71.016067649999997</v>
      </c>
      <c r="G21" s="250">
        <v>75.756800099999992</v>
      </c>
      <c r="H21" s="250">
        <v>58.692820429999998</v>
      </c>
      <c r="I21" s="250">
        <v>57.827617690000004</v>
      </c>
      <c r="J21" s="250">
        <v>56.134856850000006</v>
      </c>
      <c r="K21" s="250">
        <v>56.222081906</v>
      </c>
      <c r="L21" s="250">
        <v>65.520463800000002</v>
      </c>
      <c r="M21" s="250">
        <v>63.363098249999993</v>
      </c>
      <c r="N21" s="251">
        <v>77.999895260000017</v>
      </c>
      <c r="O21" s="273">
        <f t="shared" si="2"/>
        <v>766.260727696</v>
      </c>
      <c r="P21" s="2"/>
      <c r="R21" s="9"/>
    </row>
    <row r="22" spans="2:18">
      <c r="B22" s="274" t="s">
        <v>252</v>
      </c>
      <c r="C22" s="252">
        <v>0</v>
      </c>
      <c r="D22" s="250">
        <v>0</v>
      </c>
      <c r="E22" s="250">
        <v>0</v>
      </c>
      <c r="F22" s="250">
        <v>0</v>
      </c>
      <c r="G22" s="250">
        <v>0</v>
      </c>
      <c r="H22" s="250">
        <v>0</v>
      </c>
      <c r="I22" s="250">
        <v>0</v>
      </c>
      <c r="J22" s="250">
        <v>0</v>
      </c>
      <c r="K22" s="250">
        <v>0</v>
      </c>
      <c r="L22" s="250">
        <v>0</v>
      </c>
      <c r="M22" s="250">
        <v>0</v>
      </c>
      <c r="N22" s="251">
        <v>0</v>
      </c>
      <c r="O22" s="273">
        <f t="shared" si="2"/>
        <v>0</v>
      </c>
      <c r="P22" s="2"/>
      <c r="R22" s="9"/>
    </row>
    <row r="23" spans="2:18">
      <c r="B23" s="274" t="s">
        <v>253</v>
      </c>
      <c r="C23" s="252">
        <v>0.13721427999999999</v>
      </c>
      <c r="D23" s="250">
        <v>3.2692900000000003</v>
      </c>
      <c r="E23" s="250">
        <v>3.65368</v>
      </c>
      <c r="F23" s="250">
        <v>3.2949649999999999</v>
      </c>
      <c r="G23" s="250">
        <v>3.385605</v>
      </c>
      <c r="H23" s="250">
        <v>3.2948650000000002</v>
      </c>
      <c r="I23" s="250">
        <v>3.3309800000000003</v>
      </c>
      <c r="J23" s="250">
        <v>3.3281849999999999</v>
      </c>
      <c r="K23" s="250">
        <v>3.3202150000000001</v>
      </c>
      <c r="L23" s="250">
        <v>3.365456</v>
      </c>
      <c r="M23" s="250">
        <v>3.252405</v>
      </c>
      <c r="N23" s="251">
        <v>5.2698049999999999</v>
      </c>
      <c r="O23" s="273">
        <f t="shared" si="2"/>
        <v>38.902665280000001</v>
      </c>
      <c r="P23" s="2"/>
      <c r="R23" s="9"/>
    </row>
    <row r="24" spans="2:18">
      <c r="B24" s="274" t="s">
        <v>254</v>
      </c>
      <c r="C24" s="252">
        <v>31.054674599999998</v>
      </c>
      <c r="D24" s="250">
        <v>46.899177350000002</v>
      </c>
      <c r="E24" s="250">
        <v>37.003153360000006</v>
      </c>
      <c r="F24" s="250">
        <v>42.932847260000003</v>
      </c>
      <c r="G24" s="250">
        <v>67.554796509999989</v>
      </c>
      <c r="H24" s="250">
        <v>47.24027654999999</v>
      </c>
      <c r="I24" s="250">
        <v>57.138730949999996</v>
      </c>
      <c r="J24" s="250">
        <v>45.354224840000001</v>
      </c>
      <c r="K24" s="250">
        <v>45.841079240000013</v>
      </c>
      <c r="L24" s="250">
        <v>45.699475989999996</v>
      </c>
      <c r="M24" s="250">
        <v>46.107183520000007</v>
      </c>
      <c r="N24" s="251">
        <v>54.85950643999999</v>
      </c>
      <c r="O24" s="273">
        <f t="shared" si="2"/>
        <v>567.68512661000011</v>
      </c>
      <c r="P24" s="2"/>
      <c r="R24" s="9"/>
    </row>
    <row r="25" spans="2:18">
      <c r="B25" s="274" t="s">
        <v>255</v>
      </c>
      <c r="C25" s="252">
        <v>0.22666700000000001</v>
      </c>
      <c r="D25" s="250">
        <v>0.89670956999999996</v>
      </c>
      <c r="E25" s="250">
        <v>1.0914093299999998</v>
      </c>
      <c r="F25" s="250">
        <v>0.62331137000000003</v>
      </c>
      <c r="G25" s="250">
        <v>7.1066607400000006</v>
      </c>
      <c r="H25" s="250">
        <v>8.5000000000000006E-2</v>
      </c>
      <c r="I25" s="250">
        <v>0.03</v>
      </c>
      <c r="J25" s="250">
        <v>0.30468166000000002</v>
      </c>
      <c r="K25" s="250">
        <v>2.1500353000000003</v>
      </c>
      <c r="L25" s="250">
        <v>0.57442437000000002</v>
      </c>
      <c r="M25" s="250">
        <v>0.40363663</v>
      </c>
      <c r="N25" s="251">
        <v>0.14166666999999999</v>
      </c>
      <c r="O25" s="273">
        <f t="shared" si="2"/>
        <v>13.63420264</v>
      </c>
      <c r="P25" s="2"/>
      <c r="R25" s="9"/>
    </row>
    <row r="26" spans="2:18">
      <c r="B26" s="274" t="s">
        <v>256</v>
      </c>
      <c r="C26" s="252">
        <v>0.307064</v>
      </c>
      <c r="D26" s="250">
        <v>0.348798</v>
      </c>
      <c r="E26" s="250">
        <v>0.38000800000000001</v>
      </c>
      <c r="F26" s="250">
        <v>0.39541399999999999</v>
      </c>
      <c r="G26" s="250">
        <v>0.31712000000000001</v>
      </c>
      <c r="H26" s="250">
        <v>0.27756900000000001</v>
      </c>
      <c r="I26" s="250">
        <v>0.425062</v>
      </c>
      <c r="J26" s="250">
        <v>0.37984699999999999</v>
      </c>
      <c r="K26" s="250">
        <v>0.363562</v>
      </c>
      <c r="L26" s="250">
        <v>0.254998</v>
      </c>
      <c r="M26" s="250">
        <v>0.31711800000000001</v>
      </c>
      <c r="N26" s="251">
        <v>0.43080800000000002</v>
      </c>
      <c r="O26" s="273">
        <f t="shared" si="2"/>
        <v>4.197368</v>
      </c>
      <c r="P26" s="2"/>
      <c r="R26" s="9"/>
    </row>
    <row r="27" spans="2:18">
      <c r="B27" s="274" t="s">
        <v>257</v>
      </c>
      <c r="C27" s="252"/>
      <c r="D27" s="250"/>
      <c r="E27" s="250"/>
      <c r="F27" s="250"/>
      <c r="G27" s="250"/>
      <c r="H27" s="250"/>
      <c r="I27" s="250"/>
      <c r="J27" s="250"/>
      <c r="K27" s="250"/>
      <c r="L27" s="250"/>
      <c r="M27" s="250"/>
      <c r="N27" s="251"/>
      <c r="O27" s="273">
        <f t="shared" si="2"/>
        <v>0</v>
      </c>
      <c r="P27" s="2"/>
      <c r="R27" s="9"/>
    </row>
    <row r="28" spans="2:18">
      <c r="B28" s="274" t="s">
        <v>258</v>
      </c>
      <c r="C28" s="252">
        <v>0</v>
      </c>
      <c r="D28" s="250">
        <v>4.31450771</v>
      </c>
      <c r="E28" s="250">
        <v>4.1374681899999999</v>
      </c>
      <c r="F28" s="250">
        <v>1.8161334499999999</v>
      </c>
      <c r="G28" s="250">
        <v>8.0737818800000003</v>
      </c>
      <c r="H28" s="250">
        <v>1.96325901</v>
      </c>
      <c r="I28" s="250">
        <v>0</v>
      </c>
      <c r="J28" s="250">
        <v>5.3374637700000003</v>
      </c>
      <c r="K28" s="250">
        <v>5.8553774900000004</v>
      </c>
      <c r="L28" s="250">
        <v>8.9326017100000001</v>
      </c>
      <c r="M28" s="250">
        <v>1.2843332000000001</v>
      </c>
      <c r="N28" s="251">
        <v>3.8640072600000002</v>
      </c>
      <c r="O28" s="273">
        <f t="shared" ref="O28" si="6">SUM(C28:N28)</f>
        <v>45.578933670000005</v>
      </c>
      <c r="P28" s="2"/>
      <c r="Q28" s="9"/>
      <c r="R28" s="9"/>
    </row>
    <row r="29" spans="2:18">
      <c r="B29" s="274" t="s">
        <v>626</v>
      </c>
      <c r="C29" s="252">
        <v>4.3099683400000002</v>
      </c>
      <c r="D29" s="250">
        <v>4.2445000000000004</v>
      </c>
      <c r="E29" s="250">
        <v>4.8759924000000003</v>
      </c>
      <c r="F29" s="250">
        <v>71.453748360000006</v>
      </c>
      <c r="G29" s="250">
        <v>4.2997146199999996</v>
      </c>
      <c r="H29" s="250">
        <v>3.9716999999999998</v>
      </c>
      <c r="I29" s="250">
        <v>4.0831049399999992</v>
      </c>
      <c r="J29" s="250">
        <v>4.2471992500000004</v>
      </c>
      <c r="K29" s="250">
        <v>4.0643039399999994</v>
      </c>
      <c r="L29" s="250">
        <v>4.4413452600000003</v>
      </c>
      <c r="M29" s="250">
        <v>4.0238100299999999</v>
      </c>
      <c r="N29" s="251">
        <v>3.927</v>
      </c>
      <c r="O29" s="273">
        <f t="shared" si="2"/>
        <v>117.94238714000001</v>
      </c>
      <c r="P29" s="2"/>
      <c r="Q29" s="726"/>
      <c r="R29" s="9"/>
    </row>
    <row r="30" spans="2:18" ht="18" customHeight="1">
      <c r="B30" s="272" t="s">
        <v>259</v>
      </c>
      <c r="C30" s="244">
        <f>SUM(C31:C32)</f>
        <v>39.300355290000006</v>
      </c>
      <c r="D30" s="245">
        <f>SUM(D31:D32)</f>
        <v>55.115534720000007</v>
      </c>
      <c r="E30" s="245">
        <f t="shared" ref="E30:N30" si="7">SUM(E31:E32)</f>
        <v>62.97350797</v>
      </c>
      <c r="F30" s="245">
        <f t="shared" si="7"/>
        <v>76.223822699999999</v>
      </c>
      <c r="G30" s="245">
        <f t="shared" si="7"/>
        <v>73.633017099999989</v>
      </c>
      <c r="H30" s="245">
        <f t="shared" si="7"/>
        <v>59.452182610000001</v>
      </c>
      <c r="I30" s="245">
        <f t="shared" si="7"/>
        <v>57.760751200000001</v>
      </c>
      <c r="J30" s="245">
        <f t="shared" si="7"/>
        <v>58.730809620000002</v>
      </c>
      <c r="K30" s="245">
        <f t="shared" si="7"/>
        <v>53.523026559999998</v>
      </c>
      <c r="L30" s="245">
        <f t="shared" si="7"/>
        <v>56.273420939999994</v>
      </c>
      <c r="M30" s="245">
        <f t="shared" si="7"/>
        <v>51.270580330000001</v>
      </c>
      <c r="N30" s="247">
        <f t="shared" si="7"/>
        <v>75.061150879999985</v>
      </c>
      <c r="O30" s="271">
        <f t="shared" si="2"/>
        <v>719.31815991999997</v>
      </c>
      <c r="P30" s="2"/>
      <c r="R30" s="9"/>
    </row>
    <row r="31" spans="2:18">
      <c r="B31" s="265" t="s">
        <v>260</v>
      </c>
      <c r="C31" s="252">
        <v>6.1331062999999997</v>
      </c>
      <c r="D31" s="250">
        <v>12.069685140000002</v>
      </c>
      <c r="E31" s="250">
        <v>15.564252630000002</v>
      </c>
      <c r="F31" s="250">
        <v>22.553506969999997</v>
      </c>
      <c r="G31" s="250">
        <v>18.67232031</v>
      </c>
      <c r="H31" s="250">
        <v>13.740774870000003</v>
      </c>
      <c r="I31" s="250">
        <v>12.061076379999999</v>
      </c>
      <c r="J31" s="250">
        <v>10.87206933</v>
      </c>
      <c r="K31" s="250">
        <v>9.8371391599999978</v>
      </c>
      <c r="L31" s="250">
        <v>10.958621190000001</v>
      </c>
      <c r="M31" s="250">
        <v>14.66195664</v>
      </c>
      <c r="N31" s="251">
        <v>32.352841889999993</v>
      </c>
      <c r="O31" s="273">
        <f t="shared" si="2"/>
        <v>179.47735080999996</v>
      </c>
      <c r="P31" s="2"/>
      <c r="R31" s="9"/>
    </row>
    <row r="32" spans="2:18">
      <c r="B32" s="265" t="s">
        <v>261</v>
      </c>
      <c r="C32" s="252">
        <f>SUM(C33:C40)</f>
        <v>33.167248990000004</v>
      </c>
      <c r="D32" s="250">
        <f>SUM(D33:D40)</f>
        <v>43.045849580000002</v>
      </c>
      <c r="E32" s="250">
        <f t="shared" ref="E32:N32" si="8">SUM(E33:E40)</f>
        <v>47.409255340000001</v>
      </c>
      <c r="F32" s="250">
        <f t="shared" si="8"/>
        <v>53.670315729999999</v>
      </c>
      <c r="G32" s="250">
        <f t="shared" si="8"/>
        <v>54.960696789999993</v>
      </c>
      <c r="H32" s="250">
        <f t="shared" si="8"/>
        <v>45.711407739999999</v>
      </c>
      <c r="I32" s="250">
        <f t="shared" si="8"/>
        <v>45.699674819999998</v>
      </c>
      <c r="J32" s="250">
        <f t="shared" si="8"/>
        <v>47.85874029</v>
      </c>
      <c r="K32" s="250">
        <f t="shared" si="8"/>
        <v>43.685887399999999</v>
      </c>
      <c r="L32" s="250">
        <f t="shared" si="8"/>
        <v>45.314799749999992</v>
      </c>
      <c r="M32" s="250">
        <f t="shared" si="8"/>
        <v>36.608623690000002</v>
      </c>
      <c r="N32" s="251">
        <f t="shared" si="8"/>
        <v>42.708308989999992</v>
      </c>
      <c r="O32" s="273">
        <f t="shared" si="2"/>
        <v>539.84080911000001</v>
      </c>
      <c r="P32" s="2"/>
      <c r="R32" s="9"/>
    </row>
    <row r="33" spans="1:18">
      <c r="B33" s="274" t="s">
        <v>251</v>
      </c>
      <c r="C33" s="252">
        <v>29.985772230000002</v>
      </c>
      <c r="D33" s="250">
        <v>28.923580829999999</v>
      </c>
      <c r="E33" s="250">
        <v>29.412957819999999</v>
      </c>
      <c r="F33" s="250">
        <v>28.978685289999998</v>
      </c>
      <c r="G33" s="250">
        <v>29.097993509999998</v>
      </c>
      <c r="H33" s="250">
        <v>29.159629150000001</v>
      </c>
      <c r="I33" s="250">
        <v>28.88109261</v>
      </c>
      <c r="J33" s="250">
        <v>30.05311</v>
      </c>
      <c r="K33" s="250">
        <v>29.739147280000001</v>
      </c>
      <c r="L33" s="250">
        <v>29.42804937</v>
      </c>
      <c r="M33" s="250">
        <v>29.51166482</v>
      </c>
      <c r="N33" s="251">
        <v>28.393993309999999</v>
      </c>
      <c r="O33" s="273">
        <f t="shared" si="2"/>
        <v>351.56567622</v>
      </c>
      <c r="P33" s="2"/>
      <c r="R33" s="9"/>
    </row>
    <row r="34" spans="1:18">
      <c r="B34" s="274" t="s">
        <v>252</v>
      </c>
      <c r="C34" s="252">
        <v>0</v>
      </c>
      <c r="D34" s="250">
        <v>0</v>
      </c>
      <c r="E34" s="250">
        <v>0</v>
      </c>
      <c r="F34" s="250">
        <v>0.28651300000000002</v>
      </c>
      <c r="G34" s="250">
        <v>0.52826200000000001</v>
      </c>
      <c r="H34" s="250">
        <v>0</v>
      </c>
      <c r="I34" s="250">
        <v>0</v>
      </c>
      <c r="J34" s="250">
        <v>0</v>
      </c>
      <c r="K34" s="250">
        <v>0</v>
      </c>
      <c r="L34" s="250">
        <v>0</v>
      </c>
      <c r="M34" s="250">
        <v>0</v>
      </c>
      <c r="N34" s="251">
        <v>0</v>
      </c>
      <c r="O34" s="273">
        <f t="shared" si="2"/>
        <v>0.81477500000000003</v>
      </c>
      <c r="P34" s="2"/>
      <c r="R34" s="9"/>
    </row>
    <row r="35" spans="1:18">
      <c r="B35" s="274" t="s">
        <v>253</v>
      </c>
      <c r="C35" s="252">
        <v>0</v>
      </c>
      <c r="D35" s="250">
        <v>0.57199999999999995</v>
      </c>
      <c r="E35" s="250">
        <v>0.66500000000000004</v>
      </c>
      <c r="F35" s="250">
        <v>0</v>
      </c>
      <c r="G35" s="250">
        <v>0</v>
      </c>
      <c r="H35" s="250">
        <v>0</v>
      </c>
      <c r="I35" s="250">
        <v>0.5</v>
      </c>
      <c r="J35" s="250">
        <v>1.04595876</v>
      </c>
      <c r="K35" s="250">
        <v>0</v>
      </c>
      <c r="L35" s="250">
        <v>0</v>
      </c>
      <c r="M35" s="250">
        <v>0</v>
      </c>
      <c r="N35" s="251">
        <v>0</v>
      </c>
      <c r="O35" s="273">
        <f t="shared" si="2"/>
        <v>2.7829587600000001</v>
      </c>
      <c r="P35" s="2"/>
      <c r="R35" s="9"/>
    </row>
    <row r="36" spans="1:18">
      <c r="B36" s="274" t="s">
        <v>262</v>
      </c>
      <c r="C36" s="252">
        <v>1.7023630000000001</v>
      </c>
      <c r="D36" s="250">
        <v>5.1642527400000002</v>
      </c>
      <c r="E36" s="250">
        <v>0.80656413000000005</v>
      </c>
      <c r="F36" s="250">
        <v>1.0347999999999999</v>
      </c>
      <c r="G36" s="250">
        <v>3.0936641799999998</v>
      </c>
      <c r="H36" s="250">
        <v>1.1151949999999999</v>
      </c>
      <c r="I36" s="250">
        <v>1.8911500000000001</v>
      </c>
      <c r="J36" s="250">
        <v>0.87460000000000004</v>
      </c>
      <c r="K36" s="250">
        <v>1.6</v>
      </c>
      <c r="L36" s="250">
        <v>3.695605</v>
      </c>
      <c r="M36" s="250">
        <v>1.8081200000000002</v>
      </c>
      <c r="N36" s="251">
        <v>4.5134673300000001</v>
      </c>
      <c r="O36" s="273">
        <f t="shared" si="2"/>
        <v>27.299781380000002</v>
      </c>
      <c r="P36" s="2"/>
      <c r="R36" s="9"/>
    </row>
    <row r="37" spans="1:18">
      <c r="B37" s="274" t="s">
        <v>263</v>
      </c>
      <c r="C37" s="252">
        <v>9.2435999999999994E-3</v>
      </c>
      <c r="D37" s="250">
        <v>4.5505096600000003</v>
      </c>
      <c r="E37" s="250">
        <v>4.2444437300000004</v>
      </c>
      <c r="F37" s="250">
        <v>7.6003077599999997</v>
      </c>
      <c r="G37" s="250">
        <v>6.2611577899999986</v>
      </c>
      <c r="H37" s="250">
        <v>7.4305921900000005</v>
      </c>
      <c r="I37" s="250">
        <v>5.7824484100000006</v>
      </c>
      <c r="J37" s="250">
        <v>7.3791726500000001</v>
      </c>
      <c r="K37" s="250">
        <v>3.8517502699999997</v>
      </c>
      <c r="L37" s="250">
        <v>4.5669163199999998</v>
      </c>
      <c r="M37" s="250">
        <v>3.8081997400000001</v>
      </c>
      <c r="N37" s="251">
        <v>1.6179136600000001</v>
      </c>
      <c r="O37" s="273">
        <f t="shared" si="2"/>
        <v>57.102655779999992</v>
      </c>
      <c r="P37" s="2"/>
      <c r="R37" s="9"/>
    </row>
    <row r="38" spans="1:18">
      <c r="B38" s="274" t="s">
        <v>264</v>
      </c>
      <c r="C38" s="252">
        <v>0</v>
      </c>
      <c r="D38" s="250">
        <v>2</v>
      </c>
      <c r="E38" s="250">
        <v>0</v>
      </c>
      <c r="F38" s="250">
        <v>0.5</v>
      </c>
      <c r="G38" s="250">
        <v>1.9</v>
      </c>
      <c r="H38" s="250">
        <v>0.5</v>
      </c>
      <c r="I38" s="250">
        <v>2.0418949999999998</v>
      </c>
      <c r="J38" s="250">
        <v>1.361</v>
      </c>
      <c r="K38" s="250">
        <v>0.77500000000000002</v>
      </c>
      <c r="L38" s="250">
        <v>0</v>
      </c>
      <c r="M38" s="250">
        <v>0</v>
      </c>
      <c r="N38" s="251">
        <v>1.3</v>
      </c>
      <c r="O38" s="273">
        <f t="shared" si="2"/>
        <v>10.377895000000002</v>
      </c>
      <c r="P38" s="2"/>
      <c r="R38" s="9"/>
    </row>
    <row r="39" spans="1:18">
      <c r="B39" s="274" t="s">
        <v>265</v>
      </c>
      <c r="C39" s="252">
        <v>0</v>
      </c>
      <c r="D39" s="250">
        <v>0</v>
      </c>
      <c r="E39" s="250">
        <v>0</v>
      </c>
      <c r="F39" s="250">
        <v>0</v>
      </c>
      <c r="G39" s="250">
        <v>0</v>
      </c>
      <c r="H39" s="250">
        <v>0</v>
      </c>
      <c r="I39" s="250">
        <v>0</v>
      </c>
      <c r="J39" s="250">
        <v>0</v>
      </c>
      <c r="K39" s="250">
        <v>0</v>
      </c>
      <c r="L39" s="250">
        <v>0</v>
      </c>
      <c r="M39" s="250">
        <v>0</v>
      </c>
      <c r="N39" s="251">
        <v>0</v>
      </c>
      <c r="O39" s="273">
        <f t="shared" si="2"/>
        <v>0</v>
      </c>
      <c r="P39" s="2"/>
      <c r="R39" s="9"/>
    </row>
    <row r="40" spans="1:18">
      <c r="B40" s="274" t="s">
        <v>266</v>
      </c>
      <c r="C40" s="252">
        <v>1.4698701599999999</v>
      </c>
      <c r="D40" s="250">
        <v>1.83550635</v>
      </c>
      <c r="E40" s="250">
        <v>12.280289659999999</v>
      </c>
      <c r="F40" s="250">
        <v>15.270009679999999</v>
      </c>
      <c r="G40" s="250">
        <v>14.07961931</v>
      </c>
      <c r="H40" s="250">
        <v>7.5059914000000001</v>
      </c>
      <c r="I40" s="250">
        <v>6.6030888000000001</v>
      </c>
      <c r="J40" s="250">
        <v>7.1448988800000004</v>
      </c>
      <c r="K40" s="250">
        <v>7.7199898500000002</v>
      </c>
      <c r="L40" s="250">
        <v>7.6242290600000002</v>
      </c>
      <c r="M40" s="250">
        <v>1.4806391299999999</v>
      </c>
      <c r="N40" s="251">
        <v>6.8829346899999999</v>
      </c>
      <c r="O40" s="273">
        <f t="shared" si="2"/>
        <v>89.897066970000012</v>
      </c>
      <c r="P40" s="2"/>
      <c r="R40" s="9"/>
    </row>
    <row r="41" spans="1:18" ht="18" customHeight="1">
      <c r="B41" s="275" t="s">
        <v>267</v>
      </c>
      <c r="C41" s="257">
        <f>SUM(C42:C46)</f>
        <v>-9.7681999999999995E-3</v>
      </c>
      <c r="D41" s="258">
        <f>SUM(D42:D46)</f>
        <v>-1.6403999999999998E-2</v>
      </c>
      <c r="E41" s="258">
        <f t="shared" ref="E41:N41" si="9">SUM(E42:E46)</f>
        <v>-9.7681999999999995E-3</v>
      </c>
      <c r="F41" s="258">
        <f t="shared" si="9"/>
        <v>-9.7681999999999995E-3</v>
      </c>
      <c r="G41" s="258">
        <f t="shared" si="9"/>
        <v>-9.7681999999999995E-3</v>
      </c>
      <c r="H41" s="258">
        <f t="shared" si="9"/>
        <v>-9.3069150000000003E-2</v>
      </c>
      <c r="I41" s="258">
        <f t="shared" si="9"/>
        <v>-1.5851609999999999E-2</v>
      </c>
      <c r="J41" s="258">
        <f t="shared" si="9"/>
        <v>-2.2487710000000001E-2</v>
      </c>
      <c r="K41" s="258">
        <f t="shared" si="9"/>
        <v>-1.423691E-2</v>
      </c>
      <c r="L41" s="258">
        <f t="shared" si="9"/>
        <v>-1.7466909999999999E-2</v>
      </c>
      <c r="M41" s="258">
        <f t="shared" si="9"/>
        <v>-1.585191E-2</v>
      </c>
      <c r="N41" s="259">
        <f t="shared" si="9"/>
        <v>0</v>
      </c>
      <c r="O41" s="276">
        <f t="shared" si="2"/>
        <v>-0.23444099999999995</v>
      </c>
      <c r="P41" s="2"/>
      <c r="R41" s="9"/>
    </row>
    <row r="42" spans="1:18">
      <c r="A42" s="254"/>
      <c r="B42" s="265" t="s">
        <v>251</v>
      </c>
      <c r="C42" s="252">
        <v>-9.7681999999999995E-3</v>
      </c>
      <c r="D42" s="250">
        <v>-9.7681999999999995E-3</v>
      </c>
      <c r="E42" s="250">
        <v>-9.7681999999999995E-3</v>
      </c>
      <c r="F42" s="250">
        <v>-9.7681999999999995E-3</v>
      </c>
      <c r="G42" s="250">
        <v>-9.7681999999999995E-3</v>
      </c>
      <c r="H42" s="250">
        <v>-1.585191E-2</v>
      </c>
      <c r="I42" s="250">
        <v>-1.5851609999999999E-2</v>
      </c>
      <c r="J42" s="250">
        <v>-1.585191E-2</v>
      </c>
      <c r="K42" s="250">
        <v>-1.423691E-2</v>
      </c>
      <c r="L42" s="250">
        <v>-1.7466909999999999E-2</v>
      </c>
      <c r="M42" s="250">
        <v>-1.585191E-2</v>
      </c>
      <c r="N42" s="251">
        <v>0</v>
      </c>
      <c r="O42" s="273">
        <f t="shared" si="2"/>
        <v>-0.14395216</v>
      </c>
      <c r="P42" s="2"/>
      <c r="R42" s="9"/>
    </row>
    <row r="43" spans="1:18">
      <c r="A43" s="254"/>
      <c r="B43" s="265" t="s">
        <v>252</v>
      </c>
      <c r="C43" s="252">
        <v>0</v>
      </c>
      <c r="D43" s="250">
        <v>0</v>
      </c>
      <c r="E43" s="250">
        <v>0</v>
      </c>
      <c r="F43" s="250">
        <v>0</v>
      </c>
      <c r="G43" s="250">
        <v>0</v>
      </c>
      <c r="H43" s="250">
        <v>0</v>
      </c>
      <c r="I43" s="250">
        <v>0</v>
      </c>
      <c r="J43" s="250">
        <v>0</v>
      </c>
      <c r="K43" s="250">
        <v>0</v>
      </c>
      <c r="L43" s="250">
        <v>0</v>
      </c>
      <c r="M43" s="250">
        <v>0</v>
      </c>
      <c r="N43" s="251">
        <v>0</v>
      </c>
      <c r="O43" s="273">
        <f t="shared" si="2"/>
        <v>0</v>
      </c>
      <c r="P43" s="2"/>
      <c r="R43" s="9"/>
    </row>
    <row r="44" spans="1:18">
      <c r="A44" s="254"/>
      <c r="B44" s="265" t="s">
        <v>253</v>
      </c>
      <c r="C44" s="252"/>
      <c r="D44" s="250">
        <v>-6.6357999999999999E-3</v>
      </c>
      <c r="E44" s="250"/>
      <c r="F44" s="250"/>
      <c r="G44" s="250"/>
      <c r="H44" s="250"/>
      <c r="I44" s="250"/>
      <c r="J44" s="250">
        <v>-6.6357999999999999E-3</v>
      </c>
      <c r="K44" s="250"/>
      <c r="L44" s="250"/>
      <c r="M44" s="250"/>
      <c r="N44" s="251"/>
      <c r="O44" s="273">
        <f t="shared" si="2"/>
        <v>-1.32716E-2</v>
      </c>
      <c r="P44" s="2"/>
      <c r="R44" s="9"/>
    </row>
    <row r="45" spans="1:18">
      <c r="A45" s="254"/>
      <c r="B45" s="265" t="s">
        <v>254</v>
      </c>
      <c r="C45" s="252"/>
      <c r="D45" s="250"/>
      <c r="E45" s="250"/>
      <c r="F45" s="250"/>
      <c r="G45" s="250"/>
      <c r="H45" s="250">
        <v>-7.7217240000000006E-2</v>
      </c>
      <c r="I45" s="250"/>
      <c r="J45" s="250"/>
      <c r="K45" s="250"/>
      <c r="L45" s="250"/>
      <c r="M45" s="250"/>
      <c r="N45" s="251"/>
      <c r="O45" s="273">
        <f t="shared" si="2"/>
        <v>-7.7217240000000006E-2</v>
      </c>
      <c r="P45" s="2"/>
      <c r="R45" s="9"/>
    </row>
    <row r="46" spans="1:18">
      <c r="A46" s="254"/>
      <c r="B46" s="265" t="s">
        <v>268</v>
      </c>
      <c r="C46" s="252"/>
      <c r="D46" s="250"/>
      <c r="E46" s="250"/>
      <c r="F46" s="250"/>
      <c r="G46" s="250"/>
      <c r="H46" s="250"/>
      <c r="I46" s="250"/>
      <c r="J46" s="250"/>
      <c r="K46" s="250"/>
      <c r="L46" s="250"/>
      <c r="M46" s="250"/>
      <c r="N46" s="251"/>
      <c r="O46" s="273">
        <f t="shared" si="2"/>
        <v>0</v>
      </c>
      <c r="P46" s="2"/>
      <c r="R46" s="9"/>
    </row>
    <row r="47" spans="1:18" ht="24.95" customHeight="1">
      <c r="A47" s="254"/>
      <c r="B47" s="25" t="s">
        <v>269</v>
      </c>
      <c r="C47" s="244">
        <f>C9-C16</f>
        <v>80.573235709999949</v>
      </c>
      <c r="D47" s="245">
        <f>D9-D16</f>
        <v>19.29939158000002</v>
      </c>
      <c r="E47" s="245">
        <f t="shared" ref="E47:N47" si="10">E9-E16</f>
        <v>-12.601181710000048</v>
      </c>
      <c r="F47" s="245">
        <f t="shared" si="10"/>
        <v>404.65762707900001</v>
      </c>
      <c r="G47" s="245">
        <f t="shared" si="10"/>
        <v>-50.057996059999994</v>
      </c>
      <c r="H47" s="245">
        <f t="shared" si="10"/>
        <v>-23.415780879999943</v>
      </c>
      <c r="I47" s="245">
        <f t="shared" si="10"/>
        <v>-25.833521420000011</v>
      </c>
      <c r="J47" s="245">
        <f t="shared" si="10"/>
        <v>26.606533660000025</v>
      </c>
      <c r="K47" s="245">
        <f t="shared" si="10"/>
        <v>4.7262946339999985</v>
      </c>
      <c r="L47" s="245">
        <f t="shared" si="10"/>
        <v>34.072505680000063</v>
      </c>
      <c r="M47" s="245">
        <f t="shared" si="10"/>
        <v>48.915486559999977</v>
      </c>
      <c r="N47" s="247">
        <f t="shared" si="10"/>
        <v>-46.645579619999978</v>
      </c>
      <c r="O47" s="271">
        <f t="shared" si="2"/>
        <v>460.29701521300007</v>
      </c>
      <c r="P47" s="2"/>
      <c r="R47" s="9"/>
    </row>
    <row r="48" spans="1:18" ht="24.95" customHeight="1">
      <c r="A48" s="254"/>
      <c r="B48" s="25" t="s">
        <v>296</v>
      </c>
      <c r="C48" s="252"/>
      <c r="D48" s="250"/>
      <c r="E48" s="250"/>
      <c r="F48" s="250"/>
      <c r="G48" s="250"/>
      <c r="H48" s="250"/>
      <c r="I48" s="250"/>
      <c r="J48" s="250"/>
      <c r="K48" s="250"/>
      <c r="L48" s="250"/>
      <c r="M48" s="250"/>
      <c r="N48" s="251"/>
      <c r="O48" s="273"/>
      <c r="P48" s="2"/>
      <c r="R48" s="9"/>
    </row>
    <row r="49" spans="1:18" ht="18" customHeight="1">
      <c r="A49" s="254"/>
      <c r="B49" s="272" t="s">
        <v>272</v>
      </c>
      <c r="C49" s="244">
        <f>C8-C15</f>
        <v>41.529643129999897</v>
      </c>
      <c r="D49" s="245">
        <f>D8-D15</f>
        <v>-33.476291070000002</v>
      </c>
      <c r="E49" s="245">
        <f t="shared" ref="E49:N49" si="11">E8-E15</f>
        <v>-75.157651730000055</v>
      </c>
      <c r="F49" s="245">
        <f t="shared" si="11"/>
        <v>329.54709927899995</v>
      </c>
      <c r="G49" s="245">
        <f t="shared" si="11"/>
        <v>-122.55555024999995</v>
      </c>
      <c r="H49" s="245">
        <f t="shared" si="11"/>
        <v>-81.85231615999993</v>
      </c>
      <c r="I49" s="245">
        <f t="shared" si="11"/>
        <v>-82.003211210000018</v>
      </c>
      <c r="J49" s="245">
        <f t="shared" si="11"/>
        <v>-31.667107969999961</v>
      </c>
      <c r="K49" s="245">
        <f t="shared" si="11"/>
        <v>-48.043609555999979</v>
      </c>
      <c r="L49" s="245">
        <f t="shared" si="11"/>
        <v>-21.628524999999911</v>
      </c>
      <c r="M49" s="245">
        <f t="shared" si="11"/>
        <v>-2.0720198600000685</v>
      </c>
      <c r="N49" s="247">
        <f t="shared" si="11"/>
        <v>-118.67586449999999</v>
      </c>
      <c r="O49" s="271">
        <f t="shared" si="2"/>
        <v>-246.05540489700002</v>
      </c>
      <c r="P49" s="2"/>
      <c r="R49" s="9"/>
    </row>
    <row r="50" spans="1:18" ht="18" customHeight="1">
      <c r="A50" s="254"/>
      <c r="B50" s="272" t="s">
        <v>273</v>
      </c>
      <c r="C50" s="244">
        <f>C49-C14</f>
        <v>41.282648619999897</v>
      </c>
      <c r="D50" s="245">
        <f>D49-D14</f>
        <v>-35.79973914</v>
      </c>
      <c r="E50" s="245">
        <f t="shared" ref="E50:N50" si="12">E49-E14</f>
        <v>-75.564921480000052</v>
      </c>
      <c r="F50" s="245">
        <f t="shared" si="12"/>
        <v>328.44357257899998</v>
      </c>
      <c r="G50" s="245">
        <f t="shared" si="12"/>
        <v>-123.68124495999996</v>
      </c>
      <c r="H50" s="245">
        <f t="shared" si="12"/>
        <v>-82.774894339999932</v>
      </c>
      <c r="I50" s="245">
        <f t="shared" si="12"/>
        <v>-83.578421010000014</v>
      </c>
      <c r="J50" s="245">
        <f t="shared" si="12"/>
        <v>-32.101788249999963</v>
      </c>
      <c r="K50" s="245">
        <f t="shared" si="12"/>
        <v>-48.782495015999977</v>
      </c>
      <c r="L50" s="245">
        <f t="shared" si="12"/>
        <v>-22.18344834999991</v>
      </c>
      <c r="M50" s="245">
        <f t="shared" si="12"/>
        <v>-2.3392418600000684</v>
      </c>
      <c r="N50" s="247">
        <f t="shared" si="12"/>
        <v>-121.70673049999999</v>
      </c>
      <c r="O50" s="271">
        <f t="shared" si="2"/>
        <v>-258.78670370700002</v>
      </c>
      <c r="P50" s="2"/>
      <c r="R50" s="9"/>
    </row>
    <row r="51" spans="1:18" ht="18" customHeight="1">
      <c r="A51" s="254"/>
      <c r="B51" s="272" t="s">
        <v>274</v>
      </c>
      <c r="C51" s="244">
        <f>C49-C74</f>
        <v>-5.3287977500001062</v>
      </c>
      <c r="D51" s="245">
        <f>D49-D74</f>
        <v>-61.259476900000003</v>
      </c>
      <c r="E51" s="245">
        <f t="shared" ref="E51:N51" si="13">E49-E74</f>
        <v>-102.94925258000005</v>
      </c>
      <c r="F51" s="245">
        <f t="shared" si="13"/>
        <v>302.68885701899995</v>
      </c>
      <c r="G51" s="245">
        <f t="shared" si="13"/>
        <v>-150.29182999999995</v>
      </c>
      <c r="H51" s="245">
        <f t="shared" si="13"/>
        <v>-109.50976886999993</v>
      </c>
      <c r="I51" s="245">
        <f t="shared" si="13"/>
        <v>-109.40063150000002</v>
      </c>
      <c r="J51" s="245">
        <f t="shared" si="13"/>
        <v>-59.166204319999963</v>
      </c>
      <c r="K51" s="245">
        <f t="shared" si="13"/>
        <v>-75.142018215999983</v>
      </c>
      <c r="L51" s="245">
        <f t="shared" si="13"/>
        <v>-48.83028231999991</v>
      </c>
      <c r="M51" s="245">
        <f t="shared" si="13"/>
        <v>-29.658238030000067</v>
      </c>
      <c r="N51" s="247">
        <f t="shared" si="13"/>
        <v>-163.20525929999999</v>
      </c>
      <c r="O51" s="271">
        <f t="shared" si="2"/>
        <v>-612.05290276699998</v>
      </c>
      <c r="P51" s="2"/>
      <c r="R51" s="9"/>
    </row>
    <row r="52" spans="1:18" ht="24.95" customHeight="1">
      <c r="A52" s="254"/>
      <c r="B52" s="25" t="s">
        <v>275</v>
      </c>
      <c r="C52" s="244">
        <f>SUM(C53:C54)</f>
        <v>107.74735113999999</v>
      </c>
      <c r="D52" s="245">
        <f>SUM(D53:D54)</f>
        <v>-29.900004460000002</v>
      </c>
      <c r="E52" s="245">
        <f t="shared" ref="E52:N52" si="14">SUM(E53:E54)</f>
        <v>-5.2398458099999994</v>
      </c>
      <c r="F52" s="245">
        <f t="shared" si="14"/>
        <v>-17.152640389999998</v>
      </c>
      <c r="G52" s="245">
        <f t="shared" si="14"/>
        <v>3.0947188300000015</v>
      </c>
      <c r="H52" s="245">
        <f t="shared" si="14"/>
        <v>-21.825525259999999</v>
      </c>
      <c r="I52" s="245">
        <f t="shared" si="14"/>
        <v>339.99050213999999</v>
      </c>
      <c r="J52" s="245">
        <f t="shared" si="14"/>
        <v>-20.744491079999996</v>
      </c>
      <c r="K52" s="245">
        <f t="shared" si="14"/>
        <v>-88.36571893</v>
      </c>
      <c r="L52" s="245">
        <f t="shared" si="14"/>
        <v>-93.663394890000006</v>
      </c>
      <c r="M52" s="245">
        <f t="shared" si="14"/>
        <v>-21.998196780000001</v>
      </c>
      <c r="N52" s="247">
        <f t="shared" si="14"/>
        <v>-8.8772590900000132</v>
      </c>
      <c r="O52" s="271">
        <f t="shared" si="2"/>
        <v>143.06549541999996</v>
      </c>
      <c r="P52" s="2"/>
      <c r="R52" s="9"/>
    </row>
    <row r="53" spans="1:18">
      <c r="A53" s="254"/>
      <c r="B53" s="35" t="s">
        <v>276</v>
      </c>
      <c r="C53" s="252">
        <v>120.90207092999999</v>
      </c>
      <c r="D53" s="250">
        <v>5.7365240100000001</v>
      </c>
      <c r="E53" s="250">
        <v>7.9264164900000003</v>
      </c>
      <c r="F53" s="250">
        <v>7.78186921</v>
      </c>
      <c r="G53" s="250">
        <v>28.58712792</v>
      </c>
      <c r="H53" s="250">
        <v>5.3896358800000002</v>
      </c>
      <c r="I53" s="250">
        <v>353.72089536999999</v>
      </c>
      <c r="J53" s="250">
        <v>15.6036792</v>
      </c>
      <c r="K53" s="250">
        <v>8.0503154299999995</v>
      </c>
      <c r="L53" s="250">
        <v>27.168543559999996</v>
      </c>
      <c r="M53" s="250">
        <v>4.476447170000001</v>
      </c>
      <c r="N53" s="251">
        <v>17.451224159999988</v>
      </c>
      <c r="O53" s="273">
        <f t="shared" si="2"/>
        <v>602.79474933000006</v>
      </c>
      <c r="P53" s="2"/>
      <c r="R53" s="9"/>
    </row>
    <row r="54" spans="1:18">
      <c r="A54" s="254"/>
      <c r="B54" s="35" t="s">
        <v>277</v>
      </c>
      <c r="C54" s="252">
        <v>-13.15471979</v>
      </c>
      <c r="D54" s="250">
        <v>-35.636528470000002</v>
      </c>
      <c r="E54" s="250">
        <v>-13.1662623</v>
      </c>
      <c r="F54" s="250">
        <v>-24.934509599999998</v>
      </c>
      <c r="G54" s="250">
        <v>-25.492409089999999</v>
      </c>
      <c r="H54" s="250">
        <v>-27.215161139999999</v>
      </c>
      <c r="I54" s="250">
        <v>-13.730393230000001</v>
      </c>
      <c r="J54" s="250">
        <v>-36.348170279999998</v>
      </c>
      <c r="K54" s="250">
        <v>-96.416034359999998</v>
      </c>
      <c r="L54" s="250">
        <v>-120.83193845</v>
      </c>
      <c r="M54" s="250">
        <v>-26.474643950000001</v>
      </c>
      <c r="N54" s="251">
        <v>-26.328483250000001</v>
      </c>
      <c r="O54" s="273">
        <f t="shared" si="2"/>
        <v>-459.72925391000001</v>
      </c>
      <c r="P54" s="2"/>
      <c r="R54" s="9"/>
    </row>
    <row r="55" spans="1:18" ht="24.95" customHeight="1">
      <c r="A55" s="254"/>
      <c r="B55" s="25" t="s">
        <v>278</v>
      </c>
      <c r="C55" s="244">
        <f>+C56+C59+C62+C65+C66</f>
        <v>-149.27699426999985</v>
      </c>
      <c r="D55" s="245">
        <f t="shared" ref="D55:N55" si="15">+D56+D59+D62+D65+D66</f>
        <v>63.376295530000036</v>
      </c>
      <c r="E55" s="245">
        <f t="shared" si="15"/>
        <v>80.397497540000018</v>
      </c>
      <c r="F55" s="245">
        <f t="shared" si="15"/>
        <v>-312.39445888899996</v>
      </c>
      <c r="G55" s="245">
        <f t="shared" si="15"/>
        <v>119.46083142000001</v>
      </c>
      <c r="H55" s="245">
        <f t="shared" si="15"/>
        <v>103.67784141999989</v>
      </c>
      <c r="I55" s="245">
        <f t="shared" si="15"/>
        <v>-257.98729092999992</v>
      </c>
      <c r="J55" s="245">
        <f t="shared" si="15"/>
        <v>52.41159904999995</v>
      </c>
      <c r="K55" s="245">
        <f t="shared" si="15"/>
        <v>136.40932848600002</v>
      </c>
      <c r="L55" s="245">
        <f t="shared" si="15"/>
        <v>115.29191988999993</v>
      </c>
      <c r="M55" s="245">
        <f t="shared" si="15"/>
        <v>24.070216640000048</v>
      </c>
      <c r="N55" s="247">
        <f t="shared" si="15"/>
        <v>127.55312359</v>
      </c>
      <c r="O55" s="271">
        <f>SUM(C55:N55)</f>
        <v>102.98990947700017</v>
      </c>
      <c r="P55" s="2"/>
      <c r="R55" s="9"/>
    </row>
    <row r="56" spans="1:18">
      <c r="A56" s="254"/>
      <c r="B56" s="35" t="s">
        <v>279</v>
      </c>
      <c r="C56" s="252">
        <f>+C57+C58</f>
        <v>-96.458271199999999</v>
      </c>
      <c r="D56" s="250">
        <f>+D57+D58</f>
        <v>13.965999999999999</v>
      </c>
      <c r="E56" s="250">
        <f t="shared" ref="E56:N56" si="16">+E57+E58</f>
        <v>24.184000000000001</v>
      </c>
      <c r="F56" s="250">
        <f t="shared" si="16"/>
        <v>-22.34</v>
      </c>
      <c r="G56" s="250">
        <f t="shared" si="16"/>
        <v>-137.92699999999999</v>
      </c>
      <c r="H56" s="250">
        <f t="shared" si="16"/>
        <v>56.402999999999999</v>
      </c>
      <c r="I56" s="250">
        <f t="shared" si="16"/>
        <v>-190.69200000000001</v>
      </c>
      <c r="J56" s="250">
        <f t="shared" si="16"/>
        <v>-18.818999999999999</v>
      </c>
      <c r="K56" s="250">
        <f t="shared" si="16"/>
        <v>45.905999999999999</v>
      </c>
      <c r="L56" s="250">
        <f t="shared" si="16"/>
        <v>128.77105094000001</v>
      </c>
      <c r="M56" s="250">
        <f t="shared" si="16"/>
        <v>47.775656189999999</v>
      </c>
      <c r="N56" s="251">
        <f t="shared" si="16"/>
        <v>119.29638430999999</v>
      </c>
      <c r="O56" s="273">
        <f t="shared" si="2"/>
        <v>-29.934179760000021</v>
      </c>
      <c r="P56" s="2"/>
      <c r="R56" s="9"/>
    </row>
    <row r="57" spans="1:18">
      <c r="A57" s="254"/>
      <c r="B57" s="265" t="s">
        <v>280</v>
      </c>
      <c r="C57" s="252"/>
      <c r="D57" s="250"/>
      <c r="E57" s="250"/>
      <c r="F57" s="250"/>
      <c r="G57" s="250"/>
      <c r="H57" s="250"/>
      <c r="I57" s="250"/>
      <c r="J57" s="250"/>
      <c r="K57" s="250"/>
      <c r="L57" s="250"/>
      <c r="M57" s="250"/>
      <c r="N57" s="251"/>
      <c r="O57" s="273">
        <f t="shared" si="2"/>
        <v>0</v>
      </c>
      <c r="P57" s="2"/>
      <c r="R57" s="9"/>
    </row>
    <row r="58" spans="1:18">
      <c r="A58" s="254"/>
      <c r="B58" s="265" t="s">
        <v>281</v>
      </c>
      <c r="C58" s="252">
        <v>-96.458271199999999</v>
      </c>
      <c r="D58" s="250">
        <v>13.965999999999999</v>
      </c>
      <c r="E58" s="250">
        <v>24.184000000000001</v>
      </c>
      <c r="F58" s="250">
        <v>-22.34</v>
      </c>
      <c r="G58" s="250">
        <v>-137.92699999999999</v>
      </c>
      <c r="H58" s="250">
        <v>56.402999999999999</v>
      </c>
      <c r="I58" s="250">
        <v>-190.69200000000001</v>
      </c>
      <c r="J58" s="250">
        <v>-18.818999999999999</v>
      </c>
      <c r="K58" s="250">
        <v>45.905999999999999</v>
      </c>
      <c r="L58" s="250">
        <v>128.77105094000001</v>
      </c>
      <c r="M58" s="250">
        <v>47.775656189999999</v>
      </c>
      <c r="N58" s="251">
        <v>119.29638430999999</v>
      </c>
      <c r="O58" s="273">
        <f t="shared" si="2"/>
        <v>-29.934179760000021</v>
      </c>
      <c r="P58" s="2"/>
      <c r="R58" s="9"/>
    </row>
    <row r="59" spans="1:18">
      <c r="A59" s="254"/>
      <c r="B59" s="687" t="s">
        <v>282</v>
      </c>
      <c r="C59" s="252">
        <f>+C60+C61</f>
        <v>-9.7663556000000007</v>
      </c>
      <c r="D59" s="250">
        <f>+D60+D61</f>
        <v>38.606246380000009</v>
      </c>
      <c r="E59" s="250">
        <f t="shared" ref="E59:N59" si="17">+E60+E61</f>
        <v>39.362390969999993</v>
      </c>
      <c r="F59" s="250">
        <f t="shared" si="17"/>
        <v>-314.34697939</v>
      </c>
      <c r="G59" s="250">
        <f t="shared" si="17"/>
        <v>198.11764104999997</v>
      </c>
      <c r="H59" s="250">
        <f t="shared" si="17"/>
        <v>61.963757209999997</v>
      </c>
      <c r="I59" s="250">
        <f t="shared" si="17"/>
        <v>-13.59414361</v>
      </c>
      <c r="J59" s="250">
        <f t="shared" si="17"/>
        <v>-35.148672779999998</v>
      </c>
      <c r="K59" s="250">
        <f t="shared" si="17"/>
        <v>104.35490877000001</v>
      </c>
      <c r="L59" s="250">
        <f t="shared" si="17"/>
        <v>-12.764935550000006</v>
      </c>
      <c r="M59" s="250">
        <f t="shared" si="17"/>
        <v>15.28801195</v>
      </c>
      <c r="N59" s="251">
        <f t="shared" si="17"/>
        <v>38.8456348200001</v>
      </c>
      <c r="O59" s="273">
        <f t="shared" si="2"/>
        <v>110.91750422000007</v>
      </c>
      <c r="P59" s="2"/>
      <c r="R59" s="9"/>
    </row>
    <row r="60" spans="1:18">
      <c r="A60" s="254"/>
      <c r="B60" s="688" t="s">
        <v>280</v>
      </c>
      <c r="C60" s="252">
        <v>-5.1393556000000018</v>
      </c>
      <c r="D60" s="250">
        <v>38.271246380000008</v>
      </c>
      <c r="E60" s="250">
        <v>52.409390969999997</v>
      </c>
      <c r="F60" s="250">
        <v>-12.311979389999999</v>
      </c>
      <c r="G60" s="250">
        <v>-41.10035895</v>
      </c>
      <c r="H60" s="250">
        <v>33.002757209999999</v>
      </c>
      <c r="I60" s="250">
        <v>-29.32414361</v>
      </c>
      <c r="J60" s="250">
        <v>-18.468672779999999</v>
      </c>
      <c r="K60" s="250">
        <v>90.172908770000006</v>
      </c>
      <c r="L60" s="250">
        <v>-2.6879355500000059</v>
      </c>
      <c r="M60" s="250">
        <v>4.0750119500000004</v>
      </c>
      <c r="N60" s="251">
        <v>14.423634819999997</v>
      </c>
      <c r="O60" s="273">
        <f t="shared" si="2"/>
        <v>123.32250421999998</v>
      </c>
      <c r="P60" s="2"/>
      <c r="R60" s="9"/>
    </row>
    <row r="61" spans="1:18">
      <c r="A61" s="254"/>
      <c r="B61" s="688" t="s">
        <v>281</v>
      </c>
      <c r="C61" s="252">
        <v>-4.6269999999999998</v>
      </c>
      <c r="D61" s="250">
        <v>0.33500000000000002</v>
      </c>
      <c r="E61" s="250">
        <v>-13.047000000000001</v>
      </c>
      <c r="F61" s="250">
        <v>-302.03500000000003</v>
      </c>
      <c r="G61" s="250">
        <v>239.21799999999999</v>
      </c>
      <c r="H61" s="250">
        <v>28.960999999999999</v>
      </c>
      <c r="I61" s="250">
        <v>15.73</v>
      </c>
      <c r="J61" s="250">
        <v>-16.68</v>
      </c>
      <c r="K61" s="250">
        <v>14.182</v>
      </c>
      <c r="L61" s="250">
        <v>-10.077</v>
      </c>
      <c r="M61" s="250">
        <v>11.212999999999999</v>
      </c>
      <c r="N61" s="251">
        <v>24.4220000000001</v>
      </c>
      <c r="O61" s="273">
        <f t="shared" si="2"/>
        <v>-12.404999999999927</v>
      </c>
      <c r="P61" s="2"/>
      <c r="R61" s="9"/>
    </row>
    <row r="62" spans="1:18">
      <c r="A62" s="254"/>
      <c r="B62" s="35" t="s">
        <v>283</v>
      </c>
      <c r="C62" s="252">
        <f>+C63+C64</f>
        <v>0</v>
      </c>
      <c r="D62" s="250">
        <f>+D63+D64</f>
        <v>0</v>
      </c>
      <c r="E62" s="250">
        <f t="shared" ref="E62:N62" si="18">+E63+E64</f>
        <v>0</v>
      </c>
      <c r="F62" s="250">
        <f t="shared" si="18"/>
        <v>0</v>
      </c>
      <c r="G62" s="250">
        <f t="shared" si="18"/>
        <v>0</v>
      </c>
      <c r="H62" s="250">
        <f t="shared" si="18"/>
        <v>0</v>
      </c>
      <c r="I62" s="250">
        <f t="shared" si="18"/>
        <v>0</v>
      </c>
      <c r="J62" s="250">
        <f t="shared" si="18"/>
        <v>0</v>
      </c>
      <c r="K62" s="250">
        <f t="shared" si="18"/>
        <v>0</v>
      </c>
      <c r="L62" s="250">
        <f t="shared" si="18"/>
        <v>0</v>
      </c>
      <c r="M62" s="250">
        <f t="shared" si="18"/>
        <v>0</v>
      </c>
      <c r="N62" s="251">
        <f t="shared" si="18"/>
        <v>0</v>
      </c>
      <c r="O62" s="273">
        <f t="shared" si="2"/>
        <v>0</v>
      </c>
      <c r="P62" s="2"/>
      <c r="R62" s="9"/>
    </row>
    <row r="63" spans="1:18">
      <c r="A63" s="254"/>
      <c r="B63" s="265" t="s">
        <v>280</v>
      </c>
      <c r="C63" s="252"/>
      <c r="D63" s="250"/>
      <c r="E63" s="250"/>
      <c r="F63" s="250"/>
      <c r="G63" s="250"/>
      <c r="H63" s="250"/>
      <c r="I63" s="250"/>
      <c r="J63" s="250"/>
      <c r="K63" s="250"/>
      <c r="L63" s="250"/>
      <c r="M63" s="250"/>
      <c r="N63" s="251"/>
      <c r="O63" s="273">
        <f t="shared" si="2"/>
        <v>0</v>
      </c>
      <c r="P63" s="2"/>
      <c r="R63" s="9"/>
    </row>
    <row r="64" spans="1:18">
      <c r="A64" s="254"/>
      <c r="B64" s="265" t="s">
        <v>281</v>
      </c>
      <c r="C64" s="252"/>
      <c r="D64" s="250"/>
      <c r="E64" s="250"/>
      <c r="F64" s="250"/>
      <c r="G64" s="250"/>
      <c r="H64" s="250"/>
      <c r="I64" s="250"/>
      <c r="J64" s="250"/>
      <c r="K64" s="250"/>
      <c r="L64" s="250"/>
      <c r="M64" s="250"/>
      <c r="N64" s="251"/>
      <c r="O64" s="273">
        <f t="shared" si="2"/>
        <v>0</v>
      </c>
      <c r="P64" s="2"/>
      <c r="R64" s="9"/>
    </row>
    <row r="65" spans="1:18">
      <c r="A65" s="254"/>
      <c r="B65" s="35" t="s">
        <v>284</v>
      </c>
      <c r="C65" s="252">
        <v>23.247662200000001</v>
      </c>
      <c r="D65" s="250">
        <v>91.453466450000008</v>
      </c>
      <c r="E65" s="250">
        <v>36.044317960000001</v>
      </c>
      <c r="F65" s="250">
        <v>-3.5815988499999998</v>
      </c>
      <c r="G65" s="250">
        <v>22.747906050000005</v>
      </c>
      <c r="H65" s="250">
        <v>44.754085909999993</v>
      </c>
      <c r="I65" s="250">
        <v>15.121685639999988</v>
      </c>
      <c r="J65" s="250">
        <v>127.081031</v>
      </c>
      <c r="K65" s="250">
        <v>28.845253929999998</v>
      </c>
      <c r="L65" s="250">
        <v>15.089911600000002</v>
      </c>
      <c r="M65" s="250">
        <v>7.6939587800000027</v>
      </c>
      <c r="N65" s="251">
        <v>66.91303185999999</v>
      </c>
      <c r="O65" s="273">
        <f t="shared" si="2"/>
        <v>475.41071252999996</v>
      </c>
      <c r="P65" s="2"/>
      <c r="R65" s="9"/>
    </row>
    <row r="66" spans="1:18">
      <c r="A66" s="254"/>
      <c r="B66" s="35" t="s">
        <v>285</v>
      </c>
      <c r="C66" s="252">
        <f>SUM(C67:C71)</f>
        <v>-66.300029669999844</v>
      </c>
      <c r="D66" s="250">
        <f>SUM(D67:D71)</f>
        <v>-80.649417299999996</v>
      </c>
      <c r="E66" s="250">
        <f t="shared" ref="E66:N66" si="19">SUM(E67:E71)</f>
        <v>-19.193211389999977</v>
      </c>
      <c r="F66" s="250">
        <f t="shared" si="19"/>
        <v>27.874119351000001</v>
      </c>
      <c r="G66" s="250">
        <f t="shared" si="19"/>
        <v>36.522284320000004</v>
      </c>
      <c r="H66" s="250">
        <f t="shared" si="19"/>
        <v>-59.443001700000096</v>
      </c>
      <c r="I66" s="250">
        <f t="shared" si="19"/>
        <v>-68.8228329599999</v>
      </c>
      <c r="J66" s="250">
        <f t="shared" si="19"/>
        <v>-20.701759170000042</v>
      </c>
      <c r="K66" s="250">
        <f t="shared" si="19"/>
        <v>-42.696834213999999</v>
      </c>
      <c r="L66" s="250">
        <f t="shared" si="19"/>
        <v>-15.804107100000078</v>
      </c>
      <c r="M66" s="250">
        <f t="shared" si="19"/>
        <v>-46.687410279999959</v>
      </c>
      <c r="N66" s="251">
        <f t="shared" si="19"/>
        <v>-97.501927400000099</v>
      </c>
      <c r="O66" s="273">
        <f t="shared" si="2"/>
        <v>-453.40412751299999</v>
      </c>
      <c r="P66" s="2"/>
      <c r="R66" s="9"/>
    </row>
    <row r="67" spans="1:18">
      <c r="A67" s="254"/>
      <c r="B67" s="265" t="s">
        <v>286</v>
      </c>
      <c r="C67" s="252"/>
      <c r="D67" s="250"/>
      <c r="E67" s="250"/>
      <c r="F67" s="250"/>
      <c r="G67" s="250"/>
      <c r="H67" s="250"/>
      <c r="I67" s="250"/>
      <c r="J67" s="250"/>
      <c r="K67" s="250"/>
      <c r="L67" s="250"/>
      <c r="M67" s="250"/>
      <c r="N67" s="251"/>
      <c r="O67" s="273">
        <f t="shared" si="2"/>
        <v>0</v>
      </c>
      <c r="P67" s="2"/>
      <c r="R67" s="9"/>
    </row>
    <row r="68" spans="1:18">
      <c r="A68" s="254"/>
      <c r="B68" s="265" t="s">
        <v>287</v>
      </c>
      <c r="C68" s="252"/>
      <c r="D68" s="250"/>
      <c r="E68" s="250"/>
      <c r="F68" s="250"/>
      <c r="G68" s="250"/>
      <c r="H68" s="250"/>
      <c r="I68" s="250"/>
      <c r="J68" s="250"/>
      <c r="K68" s="250"/>
      <c r="L68" s="250"/>
      <c r="M68" s="250"/>
      <c r="N68" s="251"/>
      <c r="O68" s="273">
        <f t="shared" si="2"/>
        <v>0</v>
      </c>
      <c r="P68" s="2"/>
      <c r="R68" s="9"/>
    </row>
    <row r="69" spans="1:18">
      <c r="A69" s="254"/>
      <c r="B69" s="265" t="s">
        <v>288</v>
      </c>
      <c r="C69" s="252"/>
      <c r="D69" s="250"/>
      <c r="E69" s="250"/>
      <c r="F69" s="250"/>
      <c r="G69" s="250"/>
      <c r="H69" s="250"/>
      <c r="I69" s="250"/>
      <c r="J69" s="250"/>
      <c r="K69" s="250"/>
      <c r="L69" s="250"/>
      <c r="M69" s="250"/>
      <c r="N69" s="251"/>
      <c r="O69" s="273">
        <f t="shared" si="2"/>
        <v>0</v>
      </c>
      <c r="P69" s="2"/>
      <c r="R69" s="9"/>
    </row>
    <row r="70" spans="1:18">
      <c r="A70" s="254"/>
      <c r="B70" s="265" t="s">
        <v>289</v>
      </c>
      <c r="C70" s="252">
        <v>-46.858440880000003</v>
      </c>
      <c r="D70" s="250">
        <v>-27.783185830000001</v>
      </c>
      <c r="E70" s="250">
        <v>-27.791600849999998</v>
      </c>
      <c r="F70" s="250">
        <v>-26.858242260000001</v>
      </c>
      <c r="G70" s="250">
        <v>-27.736279750000001</v>
      </c>
      <c r="H70" s="250">
        <v>-27.657452709999998</v>
      </c>
      <c r="I70" s="250">
        <v>-27.397420289999999</v>
      </c>
      <c r="J70" s="250">
        <v>-27.499096350000002</v>
      </c>
      <c r="K70" s="250">
        <v>-27.09840866</v>
      </c>
      <c r="L70" s="250">
        <v>-27.201757319999999</v>
      </c>
      <c r="M70" s="250">
        <v>-27.586218169999999</v>
      </c>
      <c r="N70" s="251">
        <v>-44.529394799999999</v>
      </c>
      <c r="O70" s="273">
        <f t="shared" si="2"/>
        <v>-365.99749787000002</v>
      </c>
      <c r="P70" s="2"/>
      <c r="R70" s="9"/>
    </row>
    <row r="71" spans="1:18">
      <c r="A71" s="254"/>
      <c r="B71" s="265" t="s">
        <v>285</v>
      </c>
      <c r="C71" s="727">
        <f xml:space="preserve"> -23.7515571299998 + 4.30996833999995</f>
        <v>-19.441588789999848</v>
      </c>
      <c r="D71" s="724">
        <f>-57.11073147+4.2445</f>
        <v>-52.866231469999995</v>
      </c>
      <c r="E71" s="724">
        <f>3.72239706000002 + 4.8759924</f>
        <v>8.5983894600000212</v>
      </c>
      <c r="F71" s="724">
        <f xml:space="preserve"> -16.721386749 + 71.45374836</f>
        <v>54.732361611000002</v>
      </c>
      <c r="G71" s="724">
        <f xml:space="preserve"> 59.95884945 + 4.29971462</f>
        <v>64.258564070000006</v>
      </c>
      <c r="H71" s="724">
        <f xml:space="preserve"> -35.7572489900001 + 3.9717</f>
        <v>-31.785548990000102</v>
      </c>
      <c r="I71" s="724">
        <f xml:space="preserve"> -45.5085176099999 + 4.08310494</f>
        <v>-41.425412669999901</v>
      </c>
      <c r="J71" s="724">
        <f xml:space="preserve"> 2.55013792999996 + 4.24719925</f>
        <v>6.7973371799999605</v>
      </c>
      <c r="K71" s="724">
        <f xml:space="preserve"> -19.662729494 +  4.06430394</f>
        <v>-15.598425554</v>
      </c>
      <c r="L71" s="724">
        <f xml:space="preserve"> 6.95630495999992 +  4.44134526</f>
        <v>11.397650219999921</v>
      </c>
      <c r="M71" s="724">
        <f xml:space="preserve"> -23.12500214 + 4.02381003000004</f>
        <v>-19.10119210999996</v>
      </c>
      <c r="N71" s="725">
        <f xml:space="preserve"> -56.8995326000001 + 3.927</f>
        <v>-52.9725326000001</v>
      </c>
      <c r="O71" s="273">
        <f t="shared" si="2"/>
        <v>-87.406629643000002</v>
      </c>
      <c r="P71" s="2"/>
      <c r="R71" s="9"/>
    </row>
    <row r="72" spans="1:18" ht="24.95" customHeight="1">
      <c r="A72" s="254"/>
      <c r="B72" s="25" t="s">
        <v>290</v>
      </c>
      <c r="C72" s="244">
        <f>-C49-C52-C55</f>
        <v>0</v>
      </c>
      <c r="D72" s="245">
        <f>-D49-D52-D55</f>
        <v>0</v>
      </c>
      <c r="E72" s="245">
        <f t="shared" ref="E72:N72" si="20">-E49-E52-E55</f>
        <v>0</v>
      </c>
      <c r="F72" s="245">
        <f t="shared" si="20"/>
        <v>0</v>
      </c>
      <c r="G72" s="245">
        <f t="shared" si="20"/>
        <v>0</v>
      </c>
      <c r="H72" s="245">
        <f t="shared" si="20"/>
        <v>0</v>
      </c>
      <c r="I72" s="245">
        <f t="shared" si="20"/>
        <v>0</v>
      </c>
      <c r="J72" s="245">
        <f t="shared" si="20"/>
        <v>0</v>
      </c>
      <c r="K72" s="245">
        <f t="shared" si="20"/>
        <v>0</v>
      </c>
      <c r="L72" s="245">
        <f t="shared" si="20"/>
        <v>0</v>
      </c>
      <c r="M72" s="245">
        <f t="shared" si="20"/>
        <v>0</v>
      </c>
      <c r="N72" s="247">
        <f t="shared" si="20"/>
        <v>0</v>
      </c>
      <c r="O72" s="271">
        <f t="shared" si="2"/>
        <v>0</v>
      </c>
      <c r="P72" s="2"/>
      <c r="R72" s="9"/>
    </row>
    <row r="73" spans="1:18">
      <c r="A73" s="254"/>
      <c r="B73" s="42"/>
      <c r="C73" s="252"/>
      <c r="D73" s="250"/>
      <c r="E73" s="250"/>
      <c r="F73" s="250"/>
      <c r="G73" s="250"/>
      <c r="H73" s="250"/>
      <c r="I73" s="250"/>
      <c r="J73" s="250"/>
      <c r="K73" s="250"/>
      <c r="L73" s="250"/>
      <c r="M73" s="250"/>
      <c r="N73" s="251"/>
      <c r="O73" s="273"/>
      <c r="P73" s="2"/>
      <c r="R73" s="9"/>
    </row>
    <row r="74" spans="1:18" ht="24.95" customHeight="1">
      <c r="A74" s="254"/>
      <c r="B74" s="25" t="s">
        <v>291</v>
      </c>
      <c r="C74" s="244">
        <v>46.858440880000003</v>
      </c>
      <c r="D74" s="245">
        <v>27.783185830000001</v>
      </c>
      <c r="E74" s="245">
        <v>27.791600849999998</v>
      </c>
      <c r="F74" s="245">
        <v>26.858242260000001</v>
      </c>
      <c r="G74" s="245">
        <v>27.736279750000001</v>
      </c>
      <c r="H74" s="245">
        <v>27.657452709999998</v>
      </c>
      <c r="I74" s="245">
        <v>27.397420289999999</v>
      </c>
      <c r="J74" s="245">
        <v>27.499096350000002</v>
      </c>
      <c r="K74" s="245">
        <v>27.09840866</v>
      </c>
      <c r="L74" s="245">
        <v>27.201757319999999</v>
      </c>
      <c r="M74" s="245">
        <v>27.586218169999999</v>
      </c>
      <c r="N74" s="247">
        <v>44.529394799999999</v>
      </c>
      <c r="O74" s="271">
        <f>SUM(C74:N74)</f>
        <v>365.99749787000002</v>
      </c>
      <c r="P74" s="2"/>
      <c r="R74" s="9"/>
    </row>
    <row r="75" spans="1:18" ht="24.95" customHeight="1">
      <c r="A75" s="254"/>
      <c r="B75" s="25" t="s">
        <v>292</v>
      </c>
      <c r="C75" s="252"/>
      <c r="D75" s="250"/>
      <c r="E75" s="250"/>
      <c r="F75" s="250"/>
      <c r="G75" s="250"/>
      <c r="H75" s="250"/>
      <c r="I75" s="250"/>
      <c r="J75" s="250"/>
      <c r="K75" s="250"/>
      <c r="L75" s="250"/>
      <c r="M75" s="250"/>
      <c r="N75" s="251"/>
      <c r="O75" s="273">
        <f>SUM(C75:N75)</f>
        <v>0</v>
      </c>
      <c r="P75" s="2"/>
      <c r="R75" s="9"/>
    </row>
    <row r="76" spans="1:18" ht="24.95" customHeight="1">
      <c r="A76" s="254"/>
      <c r="B76" s="38" t="s">
        <v>56</v>
      </c>
      <c r="C76" s="285"/>
      <c r="D76" s="286"/>
      <c r="E76" s="286"/>
      <c r="F76" s="286"/>
      <c r="G76" s="286"/>
      <c r="H76" s="286"/>
      <c r="I76" s="286"/>
      <c r="J76" s="286"/>
      <c r="K76" s="286"/>
      <c r="L76" s="286"/>
      <c r="M76" s="286"/>
      <c r="N76" s="287"/>
      <c r="O76" s="284">
        <v>26056.94</v>
      </c>
      <c r="P76" s="2"/>
      <c r="R76" s="9"/>
    </row>
    <row r="77" spans="1:18" ht="6" customHeight="1">
      <c r="B77" s="2"/>
      <c r="C77" s="268"/>
      <c r="D77" s="268"/>
      <c r="E77" s="268"/>
      <c r="F77" s="268"/>
      <c r="G77" s="268"/>
      <c r="H77" s="268"/>
      <c r="I77" s="268"/>
      <c r="J77" s="268"/>
      <c r="K77" s="268"/>
      <c r="L77" s="268"/>
      <c r="M77" s="268"/>
      <c r="N77" s="268"/>
      <c r="O77" s="2"/>
      <c r="P77" s="2"/>
      <c r="R77" s="9"/>
    </row>
    <row r="78" spans="1:18">
      <c r="B78" s="2" t="s">
        <v>293</v>
      </c>
      <c r="C78" s="268"/>
      <c r="D78" s="268"/>
      <c r="E78" s="268"/>
      <c r="F78" s="268"/>
      <c r="G78" s="268"/>
      <c r="H78" s="268"/>
      <c r="I78" s="268"/>
      <c r="J78" s="268"/>
      <c r="K78" s="268"/>
      <c r="L78" s="268"/>
      <c r="M78" s="268"/>
      <c r="N78" s="268"/>
      <c r="O78" s="2"/>
      <c r="P78" s="2"/>
      <c r="R78" s="9"/>
    </row>
    <row r="79" spans="1:18">
      <c r="B79" s="2"/>
      <c r="C79" s="2"/>
      <c r="D79" s="2"/>
      <c r="E79" s="2"/>
      <c r="F79" s="2"/>
      <c r="G79" s="2"/>
      <c r="H79" s="2"/>
      <c r="I79" s="2"/>
      <c r="J79" s="2"/>
      <c r="K79" s="2"/>
      <c r="L79" s="2"/>
      <c r="M79" s="2"/>
      <c r="N79" s="2"/>
      <c r="O79" s="2"/>
      <c r="P79" s="2"/>
    </row>
    <row r="80" spans="1:18">
      <c r="B80" s="602"/>
    </row>
    <row r="81" spans="2:14">
      <c r="B81" s="602"/>
    </row>
    <row r="86" spans="2:14">
      <c r="C86" s="361">
        <v>4.3099683400000002</v>
      </c>
      <c r="D86" s="361">
        <v>4.2445000000000004</v>
      </c>
      <c r="E86" s="361">
        <v>4.8759924000000003</v>
      </c>
      <c r="F86" s="361">
        <v>71.453748360000006</v>
      </c>
      <c r="G86" s="361">
        <v>4.2997146199999996</v>
      </c>
      <c r="H86" s="361">
        <v>3.9716999999999998</v>
      </c>
      <c r="I86" s="361">
        <v>4.0831049400000001</v>
      </c>
      <c r="J86" s="361">
        <v>4.2471992500000004</v>
      </c>
      <c r="K86" s="361">
        <v>4.0643039400000003</v>
      </c>
      <c r="L86" s="361">
        <v>4.4413452600000003</v>
      </c>
      <c r="M86" s="361">
        <v>4.0238100299999999</v>
      </c>
      <c r="N86" s="361">
        <v>3.927</v>
      </c>
    </row>
    <row r="87" spans="2:14">
      <c r="C87" s="361">
        <v>4.3099683399999549</v>
      </c>
      <c r="D87" s="361">
        <v>4.2445000000000022</v>
      </c>
      <c r="E87" s="361">
        <v>4.8759924000000439</v>
      </c>
      <c r="F87" s="361">
        <v>71.45374836000002</v>
      </c>
      <c r="G87" s="361">
        <v>4.2997146199999179</v>
      </c>
      <c r="H87" s="361">
        <v>3.9716999999999985</v>
      </c>
      <c r="I87" s="361">
        <v>4.0831049399999984</v>
      </c>
      <c r="J87" s="361">
        <v>4.2471992500000013</v>
      </c>
      <c r="K87" s="361">
        <v>4.0643039400000021</v>
      </c>
      <c r="L87" s="361">
        <v>4.4413452599999914</v>
      </c>
      <c r="M87" s="361">
        <v>4.0238100300000426</v>
      </c>
      <c r="N87" s="361">
        <v>3.9270000000000067</v>
      </c>
    </row>
  </sheetData>
  <printOptions horizontalCentered="1"/>
  <pageMargins left="0.7" right="0.7" top="0.75" bottom="0.75" header="0.3" footer="0.3"/>
  <pageSetup scale="40" orientation="landscape" r:id="rId1"/>
  <ignoredErrors>
    <ignoredError sqref="C9:H9" formulaRange="1"/>
    <ignoredError sqref="O28"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
  <sheetViews>
    <sheetView topLeftCell="A22" workbookViewId="0"/>
  </sheetViews>
  <sheetFormatPr baseColWidth="10" defaultRowHeight="15"/>
  <sheetData>
    <row r="2" spans="2:2" ht="21" customHeight="1">
      <c r="B2" s="729" t="s">
        <v>790</v>
      </c>
    </row>
  </sheetData>
  <printOptions horizontalCentered="1"/>
  <pageMargins left="0.7" right="0.7" top="0.75" bottom="0.75" header="0.3" footer="0.3"/>
  <pageSetup scale="66" orientation="landscape"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R87"/>
  <sheetViews>
    <sheetView topLeftCell="A31" workbookViewId="0">
      <selection activeCell="O76" sqref="O76"/>
    </sheetView>
  </sheetViews>
  <sheetFormatPr baseColWidth="10" defaultRowHeight="15"/>
  <cols>
    <col min="1" max="1" width="1.7109375" customWidth="1"/>
    <col min="2" max="2" width="49" customWidth="1"/>
    <col min="3" max="14" width="9.28515625" customWidth="1"/>
    <col min="15" max="15" width="9.7109375" customWidth="1"/>
    <col min="16" max="16" width="1.7109375" customWidth="1"/>
    <col min="18" max="18" width="13.7109375" bestFit="1" customWidth="1"/>
  </cols>
  <sheetData>
    <row r="2" spans="2:18">
      <c r="B2" s="234" t="s">
        <v>18</v>
      </c>
      <c r="C2" s="2"/>
      <c r="D2" s="2"/>
      <c r="E2" s="2"/>
      <c r="F2" s="2"/>
      <c r="G2" s="2"/>
      <c r="H2" s="268"/>
      <c r="I2" s="268"/>
      <c r="J2" s="268"/>
      <c r="K2" s="268"/>
      <c r="L2" s="268"/>
      <c r="M2" s="268"/>
      <c r="N2" s="268"/>
      <c r="O2" s="268"/>
      <c r="P2" s="268"/>
    </row>
    <row r="3" spans="2:18">
      <c r="B3" s="234" t="s">
        <v>822</v>
      </c>
      <c r="C3" s="2"/>
      <c r="D3" s="2"/>
      <c r="E3" s="2"/>
      <c r="F3" s="2"/>
      <c r="G3" s="2"/>
      <c r="H3" s="268"/>
      <c r="I3" s="268"/>
      <c r="J3" s="268"/>
      <c r="K3" s="268"/>
      <c r="L3" s="268"/>
      <c r="M3" s="268"/>
      <c r="N3" s="268"/>
      <c r="O3" s="268"/>
      <c r="P3" s="268"/>
    </row>
    <row r="4" spans="2:18">
      <c r="B4" s="234" t="s">
        <v>19</v>
      </c>
      <c r="C4" s="2"/>
      <c r="D4" s="2"/>
      <c r="E4" s="2"/>
      <c r="F4" s="2"/>
      <c r="G4" s="2"/>
      <c r="H4" s="2"/>
      <c r="I4" s="2"/>
      <c r="J4" s="2"/>
      <c r="K4" s="2"/>
      <c r="L4" s="2"/>
      <c r="M4" s="2"/>
      <c r="N4" s="2"/>
      <c r="O4" s="2"/>
      <c r="P4" s="2"/>
      <c r="R4" s="9"/>
    </row>
    <row r="5" spans="2:18" ht="6" customHeight="1">
      <c r="B5" s="2"/>
      <c r="C5" s="2"/>
      <c r="D5" s="2"/>
      <c r="E5" s="2"/>
      <c r="F5" s="2"/>
      <c r="G5" s="2"/>
      <c r="H5" s="2"/>
      <c r="I5" s="2"/>
      <c r="J5" s="2"/>
      <c r="K5" s="2"/>
      <c r="L5" s="2"/>
      <c r="M5" s="2"/>
      <c r="N5" s="2"/>
      <c r="O5" s="2"/>
      <c r="P5" s="2"/>
      <c r="R5" s="9"/>
    </row>
    <row r="6" spans="2:18" ht="30" customHeight="1">
      <c r="B6" s="236" t="s">
        <v>238</v>
      </c>
      <c r="C6" s="236" t="s">
        <v>59</v>
      </c>
      <c r="D6" s="237" t="s">
        <v>60</v>
      </c>
      <c r="E6" s="237" t="s">
        <v>61</v>
      </c>
      <c r="F6" s="237" t="s">
        <v>62</v>
      </c>
      <c r="G6" s="237" t="s">
        <v>63</v>
      </c>
      <c r="H6" s="237" t="s">
        <v>64</v>
      </c>
      <c r="I6" s="237" t="s">
        <v>65</v>
      </c>
      <c r="J6" s="237" t="s">
        <v>66</v>
      </c>
      <c r="K6" s="237" t="s">
        <v>67</v>
      </c>
      <c r="L6" s="237" t="s">
        <v>68</v>
      </c>
      <c r="M6" s="237" t="s">
        <v>69</v>
      </c>
      <c r="N6" s="238" t="s">
        <v>70</v>
      </c>
      <c r="O6" s="238" t="s">
        <v>781</v>
      </c>
      <c r="P6" s="2"/>
      <c r="R6" s="9"/>
    </row>
    <row r="7" spans="2:18" ht="6" customHeight="1">
      <c r="B7" s="240"/>
      <c r="C7" s="240"/>
      <c r="D7" s="241"/>
      <c r="E7" s="241"/>
      <c r="F7" s="241"/>
      <c r="G7" s="241"/>
      <c r="H7" s="241"/>
      <c r="I7" s="241"/>
      <c r="J7" s="241"/>
      <c r="K7" s="241"/>
      <c r="L7" s="241"/>
      <c r="M7" s="241"/>
      <c r="N7" s="269"/>
      <c r="O7" s="269"/>
      <c r="P7" s="2"/>
      <c r="R7" s="9"/>
    </row>
    <row r="8" spans="2:18" ht="24.95" customHeight="1">
      <c r="B8" s="25" t="s">
        <v>239</v>
      </c>
      <c r="C8" s="270">
        <f>C9+C13+C14</f>
        <v>468.31608535000004</v>
      </c>
      <c r="D8" s="246">
        <f>+D9+D13+D14</f>
        <v>381.00707791999997</v>
      </c>
      <c r="E8" s="246">
        <f t="shared" ref="E8:N8" si="0">+E9+E13+E14</f>
        <v>396.87616929000006</v>
      </c>
      <c r="F8" s="246">
        <f t="shared" si="0"/>
        <v>817.14267853000001</v>
      </c>
      <c r="G8" s="246">
        <f t="shared" si="0"/>
        <v>398.51981360000008</v>
      </c>
      <c r="H8" s="246">
        <f t="shared" si="0"/>
        <v>371.47805259999996</v>
      </c>
      <c r="I8" s="246">
        <f t="shared" si="0"/>
        <v>0</v>
      </c>
      <c r="J8" s="246">
        <f t="shared" si="0"/>
        <v>0</v>
      </c>
      <c r="K8" s="246">
        <f t="shared" si="0"/>
        <v>0</v>
      </c>
      <c r="L8" s="246">
        <f t="shared" si="0"/>
        <v>0</v>
      </c>
      <c r="M8" s="246">
        <f t="shared" si="0"/>
        <v>0</v>
      </c>
      <c r="N8" s="271">
        <f t="shared" si="0"/>
        <v>0</v>
      </c>
      <c r="O8" s="271">
        <f>SUM(C8:N8)</f>
        <v>2833.33987729</v>
      </c>
      <c r="P8" s="2"/>
      <c r="R8" s="9"/>
    </row>
    <row r="9" spans="2:18" ht="18" customHeight="1">
      <c r="B9" s="272" t="s">
        <v>240</v>
      </c>
      <c r="C9" s="244">
        <f>SUM(C10:C12)</f>
        <v>468.31230535000003</v>
      </c>
      <c r="D9" s="245">
        <f>SUM(D10:D12)</f>
        <v>380.83934163999999</v>
      </c>
      <c r="E9" s="245">
        <f t="shared" ref="E9:N9" si="1">SUM(E10:E12)</f>
        <v>391.11215106000009</v>
      </c>
      <c r="F9" s="245">
        <f t="shared" si="1"/>
        <v>817.10179343000004</v>
      </c>
      <c r="G9" s="245">
        <f t="shared" si="1"/>
        <v>398.3485227000001</v>
      </c>
      <c r="H9" s="245">
        <f t="shared" si="1"/>
        <v>370.71250999999995</v>
      </c>
      <c r="I9" s="245">
        <f t="shared" si="1"/>
        <v>0</v>
      </c>
      <c r="J9" s="245">
        <f t="shared" si="1"/>
        <v>0</v>
      </c>
      <c r="K9" s="245">
        <f t="shared" si="1"/>
        <v>0</v>
      </c>
      <c r="L9" s="245">
        <f t="shared" si="1"/>
        <v>0</v>
      </c>
      <c r="M9" s="245">
        <f t="shared" si="1"/>
        <v>0</v>
      </c>
      <c r="N9" s="247">
        <f t="shared" si="1"/>
        <v>0</v>
      </c>
      <c r="O9" s="271">
        <f>SUM(C9:N9)</f>
        <v>2826.4266241800001</v>
      </c>
      <c r="P9" s="2"/>
      <c r="R9" s="9"/>
    </row>
    <row r="10" spans="2:18">
      <c r="B10" s="265" t="s">
        <v>241</v>
      </c>
      <c r="C10" s="252">
        <v>452.40902637000005</v>
      </c>
      <c r="D10" s="250">
        <v>349.09049650999998</v>
      </c>
      <c r="E10" s="250">
        <v>368.56976227000007</v>
      </c>
      <c r="F10" s="250">
        <v>802.60163243</v>
      </c>
      <c r="G10" s="250">
        <v>365.87664510000008</v>
      </c>
      <c r="H10" s="250">
        <v>356.78480999999994</v>
      </c>
      <c r="I10" s="250"/>
      <c r="J10" s="250"/>
      <c r="K10" s="250"/>
      <c r="L10" s="250"/>
      <c r="M10" s="250"/>
      <c r="N10" s="251"/>
      <c r="O10" s="273">
        <f>SUM(C10:N10)</f>
        <v>2695.3323726800004</v>
      </c>
      <c r="P10" s="2"/>
      <c r="R10" s="9"/>
    </row>
    <row r="11" spans="2:18">
      <c r="B11" s="265" t="s">
        <v>242</v>
      </c>
      <c r="C11" s="252">
        <v>15.90327898</v>
      </c>
      <c r="D11" s="250">
        <v>31.748845129999999</v>
      </c>
      <c r="E11" s="250">
        <v>22.54238879</v>
      </c>
      <c r="F11" s="250">
        <v>14.500161000000002</v>
      </c>
      <c r="G11" s="250">
        <v>15.4881153</v>
      </c>
      <c r="H11" s="250">
        <v>13.9277</v>
      </c>
      <c r="I11" s="250"/>
      <c r="J11" s="250"/>
      <c r="K11" s="250"/>
      <c r="L11" s="250"/>
      <c r="M11" s="250"/>
      <c r="N11" s="251"/>
      <c r="O11" s="273">
        <f t="shared" ref="O11:O72" si="2">SUM(C11:N11)</f>
        <v>114.11048920000002</v>
      </c>
      <c r="P11" s="2"/>
      <c r="R11" s="9"/>
    </row>
    <row r="12" spans="2:18">
      <c r="B12" s="265" t="s">
        <v>243</v>
      </c>
      <c r="C12" s="252">
        <v>0</v>
      </c>
      <c r="D12" s="250">
        <v>0</v>
      </c>
      <c r="E12" s="250">
        <v>0</v>
      </c>
      <c r="F12" s="250">
        <v>0</v>
      </c>
      <c r="G12" s="250">
        <v>16.983762299999999</v>
      </c>
      <c r="H12" s="250">
        <v>0</v>
      </c>
      <c r="I12" s="250"/>
      <c r="J12" s="250"/>
      <c r="K12" s="250"/>
      <c r="L12" s="250"/>
      <c r="M12" s="250"/>
      <c r="N12" s="251"/>
      <c r="O12" s="273">
        <f t="shared" si="2"/>
        <v>16.983762299999999</v>
      </c>
      <c r="P12" s="2"/>
      <c r="R12" s="9"/>
    </row>
    <row r="13" spans="2:18" ht="18" customHeight="1">
      <c r="B13" s="272" t="s">
        <v>244</v>
      </c>
      <c r="C13" s="244">
        <v>0</v>
      </c>
      <c r="D13" s="245">
        <v>0</v>
      </c>
      <c r="E13" s="245">
        <v>0</v>
      </c>
      <c r="F13" s="245">
        <v>0</v>
      </c>
      <c r="G13" s="245">
        <v>0</v>
      </c>
      <c r="H13" s="245">
        <v>0</v>
      </c>
      <c r="I13" s="245"/>
      <c r="J13" s="245"/>
      <c r="K13" s="245"/>
      <c r="L13" s="245"/>
      <c r="M13" s="245"/>
      <c r="N13" s="247"/>
      <c r="O13" s="271">
        <f t="shared" si="2"/>
        <v>0</v>
      </c>
      <c r="P13" s="2"/>
      <c r="R13" s="9"/>
    </row>
    <row r="14" spans="2:18" ht="18" customHeight="1">
      <c r="B14" s="272" t="s">
        <v>245</v>
      </c>
      <c r="C14" s="244">
        <v>3.7799999999999999E-3</v>
      </c>
      <c r="D14" s="245">
        <v>0.16773628000000002</v>
      </c>
      <c r="E14" s="245">
        <v>5.7640182299999996</v>
      </c>
      <c r="F14" s="245">
        <v>4.0885100000000001E-2</v>
      </c>
      <c r="G14" s="245">
        <v>0.1712909</v>
      </c>
      <c r="H14" s="245">
        <v>0.76554260000000007</v>
      </c>
      <c r="I14" s="245"/>
      <c r="J14" s="245"/>
      <c r="K14" s="245"/>
      <c r="L14" s="245"/>
      <c r="M14" s="245"/>
      <c r="N14" s="247"/>
      <c r="O14" s="271">
        <f t="shared" si="2"/>
        <v>6.9132531099999985</v>
      </c>
      <c r="P14" s="2"/>
      <c r="R14" s="9"/>
    </row>
    <row r="15" spans="2:18" ht="24.95" customHeight="1">
      <c r="B15" s="25" t="s">
        <v>246</v>
      </c>
      <c r="C15" s="244">
        <f>+C16+C30+C41</f>
        <v>476.49648695999997</v>
      </c>
      <c r="D15" s="245">
        <f>+D16+D30+D41</f>
        <v>402.29116583000001</v>
      </c>
      <c r="E15" s="245">
        <f t="shared" ref="E15:N15" si="3">+E16+E30+E41</f>
        <v>399.14971472999997</v>
      </c>
      <c r="F15" s="245">
        <f t="shared" si="3"/>
        <v>586.37983840900006</v>
      </c>
      <c r="G15" s="245">
        <f t="shared" si="3"/>
        <v>482.94966181999996</v>
      </c>
      <c r="H15" s="245">
        <f t="shared" si="3"/>
        <v>474.41140489000009</v>
      </c>
      <c r="I15" s="245">
        <f t="shared" si="3"/>
        <v>0</v>
      </c>
      <c r="J15" s="245">
        <f t="shared" si="3"/>
        <v>0</v>
      </c>
      <c r="K15" s="245">
        <f t="shared" si="3"/>
        <v>0</v>
      </c>
      <c r="L15" s="245">
        <f t="shared" si="3"/>
        <v>0</v>
      </c>
      <c r="M15" s="245">
        <f t="shared" si="3"/>
        <v>0</v>
      </c>
      <c r="N15" s="247">
        <f t="shared" si="3"/>
        <v>0</v>
      </c>
      <c r="O15" s="271">
        <f t="shared" si="2"/>
        <v>2821.6782726390002</v>
      </c>
      <c r="P15" s="2"/>
      <c r="Q15">
        <v>2720.5956422889999</v>
      </c>
      <c r="R15" s="753">
        <f>+O15-Q15</f>
        <v>101.08263035000027</v>
      </c>
    </row>
    <row r="16" spans="2:18" ht="18" customHeight="1">
      <c r="B16" s="272" t="s">
        <v>247</v>
      </c>
      <c r="C16" s="244">
        <f>SUM(C17:C20)</f>
        <v>435.79273929999999</v>
      </c>
      <c r="D16" s="245">
        <f>SUM(D17:D20)</f>
        <v>346.43452153000004</v>
      </c>
      <c r="E16" s="245">
        <f t="shared" ref="E16:N16" si="4">SUM(E17:E20)</f>
        <v>327.25029010999998</v>
      </c>
      <c r="F16" s="245">
        <f t="shared" si="4"/>
        <v>512.20080760900009</v>
      </c>
      <c r="G16" s="245">
        <f t="shared" si="4"/>
        <v>394.41997208999999</v>
      </c>
      <c r="H16" s="245">
        <f t="shared" si="4"/>
        <v>420.7536025500001</v>
      </c>
      <c r="I16" s="245">
        <f t="shared" si="4"/>
        <v>0</v>
      </c>
      <c r="J16" s="245">
        <f t="shared" si="4"/>
        <v>0</v>
      </c>
      <c r="K16" s="245">
        <f t="shared" si="4"/>
        <v>0</v>
      </c>
      <c r="L16" s="245">
        <f t="shared" si="4"/>
        <v>0</v>
      </c>
      <c r="M16" s="245">
        <f t="shared" si="4"/>
        <v>0</v>
      </c>
      <c r="N16" s="247">
        <f t="shared" si="4"/>
        <v>0</v>
      </c>
      <c r="O16" s="271">
        <f t="shared" si="2"/>
        <v>2436.8519331890002</v>
      </c>
      <c r="P16" s="2"/>
      <c r="Q16">
        <v>2335.7693028389999</v>
      </c>
      <c r="R16" s="753">
        <f>+O16-Q16</f>
        <v>101.08263035000027</v>
      </c>
    </row>
    <row r="17" spans="2:18">
      <c r="B17" s="265" t="s">
        <v>136</v>
      </c>
      <c r="C17" s="252">
        <v>139.25310824000002</v>
      </c>
      <c r="D17" s="250">
        <v>132.72512207000003</v>
      </c>
      <c r="E17" s="250">
        <v>133.49571999</v>
      </c>
      <c r="F17" s="250">
        <v>136.74608927</v>
      </c>
      <c r="G17" s="250">
        <v>132.66010426</v>
      </c>
      <c r="H17" s="250">
        <v>150.76472036000001</v>
      </c>
      <c r="I17" s="250"/>
      <c r="J17" s="250"/>
      <c r="K17" s="250"/>
      <c r="L17" s="250"/>
      <c r="M17" s="250"/>
      <c r="N17" s="251"/>
      <c r="O17" s="273">
        <f t="shared" si="2"/>
        <v>825.64486419000013</v>
      </c>
      <c r="P17" s="2"/>
      <c r="R17" s="9"/>
    </row>
    <row r="18" spans="2:18">
      <c r="B18" s="265" t="s">
        <v>248</v>
      </c>
      <c r="C18" s="252">
        <v>31.737675930000005</v>
      </c>
      <c r="D18" s="250">
        <v>34.749249719999995</v>
      </c>
      <c r="E18" s="250">
        <v>45.258148459999994</v>
      </c>
      <c r="F18" s="250">
        <v>62.537240570000009</v>
      </c>
      <c r="G18" s="250">
        <v>58.853396850000003</v>
      </c>
      <c r="H18" s="250">
        <v>41.973307230000003</v>
      </c>
      <c r="I18" s="250"/>
      <c r="J18" s="250"/>
      <c r="K18" s="250"/>
      <c r="L18" s="250"/>
      <c r="M18" s="250"/>
      <c r="N18" s="251"/>
      <c r="O18" s="273">
        <f t="shared" si="2"/>
        <v>275.10901876000003</v>
      </c>
      <c r="P18" s="2"/>
      <c r="R18" s="9"/>
    </row>
    <row r="19" spans="2:18">
      <c r="B19" s="265" t="s">
        <v>249</v>
      </c>
      <c r="C19" s="686">
        <v>158.95119622999999</v>
      </c>
      <c r="D19" s="301">
        <v>70.482205209999989</v>
      </c>
      <c r="E19" s="301">
        <v>25.791652580000001</v>
      </c>
      <c r="F19" s="301">
        <v>97.910313120000012</v>
      </c>
      <c r="G19" s="301">
        <v>28.378843019999998</v>
      </c>
      <c r="H19" s="301">
        <v>87.27835773000001</v>
      </c>
      <c r="I19" s="250"/>
      <c r="J19" s="250"/>
      <c r="K19" s="250"/>
      <c r="L19" s="250"/>
      <c r="M19" s="250"/>
      <c r="N19" s="251"/>
      <c r="O19" s="273">
        <f t="shared" si="2"/>
        <v>468.79256788999999</v>
      </c>
      <c r="P19" s="2"/>
      <c r="R19" s="9"/>
    </row>
    <row r="20" spans="2:18">
      <c r="B20" s="265" t="s">
        <v>250</v>
      </c>
      <c r="C20" s="252">
        <f>SUM(C21:C29)</f>
        <v>105.85075889999999</v>
      </c>
      <c r="D20" s="250">
        <f>SUM(D21:D29)</f>
        <v>108.47794453000002</v>
      </c>
      <c r="E20" s="250">
        <f t="shared" ref="E20:N20" si="5">SUM(E21:E29)</f>
        <v>122.70476907999999</v>
      </c>
      <c r="F20" s="250">
        <f t="shared" si="5"/>
        <v>215.007164649</v>
      </c>
      <c r="G20" s="250">
        <f t="shared" si="5"/>
        <v>174.52762795999999</v>
      </c>
      <c r="H20" s="250">
        <f t="shared" si="5"/>
        <v>140.73721723000003</v>
      </c>
      <c r="I20" s="250">
        <f t="shared" si="5"/>
        <v>0</v>
      </c>
      <c r="J20" s="250">
        <f t="shared" si="5"/>
        <v>0</v>
      </c>
      <c r="K20" s="250">
        <f t="shared" si="5"/>
        <v>0</v>
      </c>
      <c r="L20" s="250">
        <f t="shared" si="5"/>
        <v>0</v>
      </c>
      <c r="M20" s="250">
        <f t="shared" si="5"/>
        <v>0</v>
      </c>
      <c r="N20" s="251">
        <f t="shared" si="5"/>
        <v>0</v>
      </c>
      <c r="O20" s="273">
        <f t="shared" si="2"/>
        <v>867.30548234900004</v>
      </c>
      <c r="P20" s="2"/>
      <c r="R20" s="9"/>
    </row>
    <row r="21" spans="2:18">
      <c r="B21" s="274" t="s">
        <v>251</v>
      </c>
      <c r="C21" s="252">
        <v>55.194294130000003</v>
      </c>
      <c r="D21" s="250">
        <v>61.865780560000005</v>
      </c>
      <c r="E21" s="250">
        <v>65.779393089999999</v>
      </c>
      <c r="F21" s="250">
        <v>66.668750410000001</v>
      </c>
      <c r="G21" s="250">
        <v>66.564903119999997</v>
      </c>
      <c r="H21" s="250">
        <v>65.760217050000008</v>
      </c>
      <c r="I21" s="250"/>
      <c r="J21" s="250"/>
      <c r="K21" s="250"/>
      <c r="L21" s="250"/>
      <c r="M21" s="250"/>
      <c r="N21" s="251"/>
      <c r="O21" s="273">
        <f t="shared" si="2"/>
        <v>381.83333836000003</v>
      </c>
      <c r="P21" s="2"/>
      <c r="R21" s="9"/>
    </row>
    <row r="22" spans="2:18">
      <c r="B22" s="274" t="s">
        <v>252</v>
      </c>
      <c r="C22" s="252">
        <v>0</v>
      </c>
      <c r="D22" s="250">
        <v>0</v>
      </c>
      <c r="E22" s="250">
        <v>0</v>
      </c>
      <c r="F22" s="250">
        <v>0</v>
      </c>
      <c r="G22" s="250">
        <v>7.9678899999999997</v>
      </c>
      <c r="H22" s="250">
        <v>0</v>
      </c>
      <c r="I22" s="250"/>
      <c r="J22" s="250"/>
      <c r="K22" s="250"/>
      <c r="L22" s="250"/>
      <c r="M22" s="250"/>
      <c r="N22" s="251"/>
      <c r="O22" s="273">
        <f t="shared" si="2"/>
        <v>7.9678899999999997</v>
      </c>
      <c r="P22" s="2"/>
      <c r="R22" s="9"/>
    </row>
    <row r="23" spans="2:18">
      <c r="B23" s="274" t="s">
        <v>253</v>
      </c>
      <c r="C23" s="252">
        <v>3.41856114</v>
      </c>
      <c r="D23" s="250">
        <v>3.7343137499999997</v>
      </c>
      <c r="E23" s="250">
        <v>3.3866309999999999</v>
      </c>
      <c r="F23" s="250">
        <v>3.3979962499999998</v>
      </c>
      <c r="G23" s="250">
        <v>3.39412125</v>
      </c>
      <c r="H23" s="250">
        <v>3.3764562499999999</v>
      </c>
      <c r="I23" s="250"/>
      <c r="J23" s="250"/>
      <c r="K23" s="250"/>
      <c r="L23" s="250"/>
      <c r="M23" s="250"/>
      <c r="N23" s="251"/>
      <c r="O23" s="273">
        <f t="shared" si="2"/>
        <v>20.708079640000001</v>
      </c>
      <c r="P23" s="2"/>
      <c r="R23" s="9"/>
    </row>
    <row r="24" spans="2:18">
      <c r="B24" s="274" t="s">
        <v>254</v>
      </c>
      <c r="C24" s="252">
        <v>41.701156399999995</v>
      </c>
      <c r="D24" s="250">
        <v>34.916871600000007</v>
      </c>
      <c r="E24" s="250">
        <v>45.741226279999992</v>
      </c>
      <c r="F24" s="250">
        <v>66.450431579000011</v>
      </c>
      <c r="G24" s="250">
        <v>77.569699870000008</v>
      </c>
      <c r="H24" s="250">
        <v>62.763661330000005</v>
      </c>
      <c r="I24" s="250"/>
      <c r="J24" s="250"/>
      <c r="K24" s="250"/>
      <c r="L24" s="250"/>
      <c r="M24" s="250"/>
      <c r="N24" s="251"/>
      <c r="O24" s="273">
        <f t="shared" si="2"/>
        <v>329.14304705900003</v>
      </c>
      <c r="P24" s="2"/>
      <c r="R24" s="9"/>
    </row>
    <row r="25" spans="2:18">
      <c r="B25" s="274" t="s">
        <v>255</v>
      </c>
      <c r="C25" s="252">
        <v>0</v>
      </c>
      <c r="D25" s="250">
        <v>0.16444478999999998</v>
      </c>
      <c r="E25" s="250">
        <v>0.93547331</v>
      </c>
      <c r="F25" s="250">
        <v>1.2288403999999999</v>
      </c>
      <c r="G25" s="250">
        <v>1.0605169000000001</v>
      </c>
      <c r="H25" s="250">
        <v>1.20083764</v>
      </c>
      <c r="I25" s="250"/>
      <c r="J25" s="250"/>
      <c r="K25" s="250"/>
      <c r="L25" s="250"/>
      <c r="M25" s="250"/>
      <c r="N25" s="251"/>
      <c r="O25" s="273">
        <f t="shared" si="2"/>
        <v>4.5901130400000003</v>
      </c>
      <c r="P25" s="2"/>
      <c r="R25" s="9"/>
    </row>
    <row r="26" spans="2:18">
      <c r="B26" s="274" t="s">
        <v>256</v>
      </c>
      <c r="C26" s="252">
        <v>0.31235000000000002</v>
      </c>
      <c r="D26" s="250">
        <v>0.28734999999999999</v>
      </c>
      <c r="E26" s="250">
        <v>0.375365</v>
      </c>
      <c r="F26" s="250">
        <v>0.38442599999999999</v>
      </c>
      <c r="G26" s="250">
        <v>0.35847200000000001</v>
      </c>
      <c r="H26" s="250">
        <v>0.31184800000000001</v>
      </c>
      <c r="I26" s="250"/>
      <c r="J26" s="250"/>
      <c r="K26" s="250"/>
      <c r="L26" s="250"/>
      <c r="M26" s="250"/>
      <c r="N26" s="251"/>
      <c r="O26" s="273">
        <f t="shared" si="2"/>
        <v>2.029811</v>
      </c>
      <c r="P26" s="2"/>
      <c r="R26" s="9"/>
    </row>
    <row r="27" spans="2:18">
      <c r="B27" s="274" t="s">
        <v>257</v>
      </c>
      <c r="C27" s="252"/>
      <c r="D27" s="250"/>
      <c r="E27" s="250"/>
      <c r="F27" s="250"/>
      <c r="G27" s="250"/>
      <c r="H27" s="250"/>
      <c r="I27" s="250"/>
      <c r="J27" s="250"/>
      <c r="K27" s="250"/>
      <c r="L27" s="250"/>
      <c r="M27" s="250"/>
      <c r="N27" s="251"/>
      <c r="O27" s="273">
        <f t="shared" si="2"/>
        <v>0</v>
      </c>
      <c r="P27" s="2"/>
      <c r="R27" s="9"/>
    </row>
    <row r="28" spans="2:18">
      <c r="B28" s="274" t="s">
        <v>258</v>
      </c>
      <c r="C28" s="252">
        <v>0</v>
      </c>
      <c r="D28" s="250">
        <v>2.76148697</v>
      </c>
      <c r="E28" s="250">
        <v>0</v>
      </c>
      <c r="F28" s="250">
        <v>2.7928787499999999</v>
      </c>
      <c r="G28" s="250">
        <v>12.00452022</v>
      </c>
      <c r="H28" s="250">
        <v>2.3916869599999999</v>
      </c>
      <c r="I28" s="250"/>
      <c r="J28" s="250"/>
      <c r="K28" s="250"/>
      <c r="L28" s="250"/>
      <c r="M28" s="250"/>
      <c r="N28" s="251"/>
      <c r="O28" s="273">
        <f t="shared" ref="O28" si="6">SUM(C28:N28)</f>
        <v>19.950572900000001</v>
      </c>
      <c r="P28" s="2"/>
      <c r="Q28" s="9"/>
      <c r="R28" s="9"/>
    </row>
    <row r="29" spans="2:18">
      <c r="B29" s="274" t="s">
        <v>626</v>
      </c>
      <c r="C29" s="252">
        <v>5.2243972300000001</v>
      </c>
      <c r="D29" s="250">
        <v>4.7476968600000005</v>
      </c>
      <c r="E29" s="250">
        <v>6.4866804000000009</v>
      </c>
      <c r="F29" s="250">
        <v>74.08384126</v>
      </c>
      <c r="G29" s="250">
        <v>5.6075045999999995</v>
      </c>
      <c r="H29" s="250">
        <v>4.9325099999999997</v>
      </c>
      <c r="I29" s="250"/>
      <c r="J29" s="250"/>
      <c r="K29" s="250"/>
      <c r="L29" s="250"/>
      <c r="M29" s="250"/>
      <c r="N29" s="251"/>
      <c r="O29" s="273">
        <f t="shared" si="2"/>
        <v>101.08263035</v>
      </c>
      <c r="P29" s="2"/>
      <c r="Q29" s="726"/>
      <c r="R29" s="9"/>
    </row>
    <row r="30" spans="2:18" ht="18" customHeight="1">
      <c r="B30" s="272" t="s">
        <v>259</v>
      </c>
      <c r="C30" s="244">
        <f>SUM(C31:C32)</f>
        <v>40.72700429999999</v>
      </c>
      <c r="D30" s="245">
        <f>SUM(D31:D32)</f>
        <v>55.87993951</v>
      </c>
      <c r="E30" s="245">
        <f t="shared" ref="E30:N30" si="7">SUM(E31:E32)</f>
        <v>71.899424620000005</v>
      </c>
      <c r="F30" s="245">
        <f t="shared" si="7"/>
        <v>74.179030800000007</v>
      </c>
      <c r="G30" s="245">
        <f t="shared" si="7"/>
        <v>88.529689730000001</v>
      </c>
      <c r="H30" s="245">
        <f t="shared" si="7"/>
        <v>53.657802339999996</v>
      </c>
      <c r="I30" s="245">
        <f t="shared" si="7"/>
        <v>0</v>
      </c>
      <c r="J30" s="245">
        <f t="shared" si="7"/>
        <v>0</v>
      </c>
      <c r="K30" s="245">
        <f t="shared" si="7"/>
        <v>0</v>
      </c>
      <c r="L30" s="245">
        <f t="shared" si="7"/>
        <v>0</v>
      </c>
      <c r="M30" s="245">
        <f t="shared" si="7"/>
        <v>0</v>
      </c>
      <c r="N30" s="247">
        <f t="shared" si="7"/>
        <v>0</v>
      </c>
      <c r="O30" s="271">
        <f t="shared" si="2"/>
        <v>384.87289129999999</v>
      </c>
      <c r="P30" s="2"/>
      <c r="R30" s="9"/>
    </row>
    <row r="31" spans="2:18">
      <c r="B31" s="265" t="s">
        <v>260</v>
      </c>
      <c r="C31" s="252">
        <v>2.5342750500000002</v>
      </c>
      <c r="D31" s="250">
        <v>8.6394014299999959</v>
      </c>
      <c r="E31" s="250">
        <v>17.954079199999999</v>
      </c>
      <c r="F31" s="250">
        <v>15.227779260000002</v>
      </c>
      <c r="G31" s="250">
        <v>16.247658489999999</v>
      </c>
      <c r="H31" s="250">
        <v>5.6088727599999997</v>
      </c>
      <c r="I31" s="250"/>
      <c r="J31" s="250"/>
      <c r="K31" s="250"/>
      <c r="L31" s="250"/>
      <c r="M31" s="250"/>
      <c r="N31" s="251"/>
      <c r="O31" s="273">
        <f t="shared" si="2"/>
        <v>66.212066190000002</v>
      </c>
      <c r="P31" s="2"/>
      <c r="R31" s="9"/>
    </row>
    <row r="32" spans="2:18">
      <c r="B32" s="265" t="s">
        <v>261</v>
      </c>
      <c r="C32" s="252">
        <f>SUM(C33:C40)</f>
        <v>38.192729249999992</v>
      </c>
      <c r="D32" s="250">
        <f>SUM(D33:D40)</f>
        <v>47.240538080000007</v>
      </c>
      <c r="E32" s="250">
        <f t="shared" ref="E32:N32" si="8">SUM(E33:E40)</f>
        <v>53.945345420000002</v>
      </c>
      <c r="F32" s="250">
        <f t="shared" si="8"/>
        <v>58.951251540000001</v>
      </c>
      <c r="G32" s="250">
        <f t="shared" si="8"/>
        <v>72.282031239999995</v>
      </c>
      <c r="H32" s="250">
        <f t="shared" si="8"/>
        <v>48.048929579999999</v>
      </c>
      <c r="I32" s="250">
        <f t="shared" si="8"/>
        <v>0</v>
      </c>
      <c r="J32" s="250">
        <f t="shared" si="8"/>
        <v>0</v>
      </c>
      <c r="K32" s="250">
        <f t="shared" si="8"/>
        <v>0</v>
      </c>
      <c r="L32" s="250">
        <f t="shared" si="8"/>
        <v>0</v>
      </c>
      <c r="M32" s="250">
        <f t="shared" si="8"/>
        <v>0</v>
      </c>
      <c r="N32" s="251">
        <f t="shared" si="8"/>
        <v>0</v>
      </c>
      <c r="O32" s="273">
        <f t="shared" si="2"/>
        <v>318.66082510999996</v>
      </c>
      <c r="P32" s="2"/>
      <c r="R32" s="9"/>
    </row>
    <row r="33" spans="1:18">
      <c r="B33" s="274" t="s">
        <v>251</v>
      </c>
      <c r="C33" s="252">
        <v>29.727810559999998</v>
      </c>
      <c r="D33" s="250">
        <v>31.730499110000004</v>
      </c>
      <c r="E33" s="250">
        <v>36.829350160000004</v>
      </c>
      <c r="F33" s="250">
        <v>31.180596990000002</v>
      </c>
      <c r="G33" s="250">
        <v>32.417183530000003</v>
      </c>
      <c r="H33" s="250">
        <v>31.359493950000005</v>
      </c>
      <c r="I33" s="250"/>
      <c r="J33" s="250"/>
      <c r="K33" s="250"/>
      <c r="L33" s="250"/>
      <c r="M33" s="250"/>
      <c r="N33" s="251"/>
      <c r="O33" s="273">
        <f t="shared" si="2"/>
        <v>193.24493430000001</v>
      </c>
      <c r="P33" s="2"/>
      <c r="R33" s="9"/>
    </row>
    <row r="34" spans="1:18">
      <c r="B34" s="274" t="s">
        <v>252</v>
      </c>
      <c r="C34" s="252">
        <v>0</v>
      </c>
      <c r="D34" s="250">
        <v>0</v>
      </c>
      <c r="E34" s="250">
        <v>0</v>
      </c>
      <c r="F34" s="250">
        <v>0</v>
      </c>
      <c r="G34" s="250">
        <v>0</v>
      </c>
      <c r="H34" s="250">
        <v>0</v>
      </c>
      <c r="I34" s="250"/>
      <c r="J34" s="250"/>
      <c r="K34" s="250"/>
      <c r="L34" s="250"/>
      <c r="M34" s="250"/>
      <c r="N34" s="251"/>
      <c r="O34" s="273">
        <f t="shared" si="2"/>
        <v>0</v>
      </c>
      <c r="P34" s="2"/>
      <c r="R34" s="9"/>
    </row>
    <row r="35" spans="1:18">
      <c r="B35" s="274" t="s">
        <v>253</v>
      </c>
      <c r="C35" s="252">
        <v>0</v>
      </c>
      <c r="D35" s="250">
        <v>0.93222499999999997</v>
      </c>
      <c r="E35" s="250">
        <v>0</v>
      </c>
      <c r="F35" s="250">
        <v>0</v>
      </c>
      <c r="G35" s="250">
        <v>0.52800000000000002</v>
      </c>
      <c r="H35" s="250">
        <v>0.12118925</v>
      </c>
      <c r="I35" s="250"/>
      <c r="J35" s="250"/>
      <c r="K35" s="250"/>
      <c r="L35" s="250"/>
      <c r="M35" s="250"/>
      <c r="N35" s="251"/>
      <c r="O35" s="273">
        <f t="shared" si="2"/>
        <v>1.5814142499999999</v>
      </c>
      <c r="P35" s="2"/>
      <c r="R35" s="9"/>
    </row>
    <row r="36" spans="1:18">
      <c r="B36" s="274" t="s">
        <v>262</v>
      </c>
      <c r="C36" s="252">
        <v>2.6780809999999997</v>
      </c>
      <c r="D36" s="250">
        <v>1.3652706499999998</v>
      </c>
      <c r="E36" s="250">
        <v>2.5708339699999998</v>
      </c>
      <c r="F36" s="250">
        <v>11.058053809999999</v>
      </c>
      <c r="G36" s="250">
        <v>5.4804852000000004</v>
      </c>
      <c r="H36" s="250">
        <v>2.3415043500000001</v>
      </c>
      <c r="I36" s="250"/>
      <c r="J36" s="250"/>
      <c r="K36" s="250"/>
      <c r="L36" s="250"/>
      <c r="M36" s="250"/>
      <c r="N36" s="251"/>
      <c r="O36" s="273">
        <f t="shared" si="2"/>
        <v>25.494228979999999</v>
      </c>
      <c r="P36" s="2"/>
      <c r="R36" s="9"/>
    </row>
    <row r="37" spans="1:18">
      <c r="B37" s="274" t="s">
        <v>263</v>
      </c>
      <c r="C37" s="252">
        <v>0.44433357999999995</v>
      </c>
      <c r="D37" s="250">
        <v>5.73515847</v>
      </c>
      <c r="E37" s="250">
        <v>4.5275430399999994</v>
      </c>
      <c r="F37" s="250">
        <v>7.7145676099999996</v>
      </c>
      <c r="G37" s="250">
        <v>9.2291145100000005</v>
      </c>
      <c r="H37" s="250">
        <v>4.4158911199999995</v>
      </c>
      <c r="I37" s="250"/>
      <c r="J37" s="250"/>
      <c r="K37" s="250"/>
      <c r="L37" s="250"/>
      <c r="M37" s="250"/>
      <c r="N37" s="251"/>
      <c r="O37" s="273">
        <f t="shared" si="2"/>
        <v>32.066608330000001</v>
      </c>
      <c r="P37" s="2"/>
      <c r="R37" s="9"/>
    </row>
    <row r="38" spans="1:18">
      <c r="B38" s="274" t="s">
        <v>264</v>
      </c>
      <c r="C38" s="252">
        <v>3.8712499999999999</v>
      </c>
      <c r="D38" s="250">
        <v>0</v>
      </c>
      <c r="E38" s="250">
        <v>0.76690000000000003</v>
      </c>
      <c r="F38" s="250">
        <v>1</v>
      </c>
      <c r="G38" s="250">
        <v>3.05</v>
      </c>
      <c r="H38" s="250">
        <v>1.9</v>
      </c>
      <c r="I38" s="250"/>
      <c r="J38" s="250"/>
      <c r="K38" s="250"/>
      <c r="L38" s="250"/>
      <c r="M38" s="250"/>
      <c r="N38" s="251"/>
      <c r="O38" s="273">
        <f t="shared" si="2"/>
        <v>10.588150000000001</v>
      </c>
      <c r="P38" s="2"/>
      <c r="R38" s="9"/>
    </row>
    <row r="39" spans="1:18">
      <c r="B39" s="274" t="s">
        <v>265</v>
      </c>
      <c r="C39" s="252">
        <v>0</v>
      </c>
      <c r="D39" s="250">
        <v>0</v>
      </c>
      <c r="E39" s="250">
        <v>0</v>
      </c>
      <c r="F39" s="250">
        <v>0</v>
      </c>
      <c r="G39" s="250">
        <v>0</v>
      </c>
      <c r="H39" s="250">
        <v>0</v>
      </c>
      <c r="I39" s="250"/>
      <c r="J39" s="250"/>
      <c r="K39" s="250"/>
      <c r="L39" s="250"/>
      <c r="M39" s="250"/>
      <c r="N39" s="251"/>
      <c r="O39" s="273">
        <f t="shared" si="2"/>
        <v>0</v>
      </c>
      <c r="P39" s="2"/>
      <c r="R39" s="9"/>
    </row>
    <row r="40" spans="1:18">
      <c r="B40" s="274" t="s">
        <v>266</v>
      </c>
      <c r="C40" s="252">
        <v>1.4712541100000001</v>
      </c>
      <c r="D40" s="250">
        <v>7.47738485</v>
      </c>
      <c r="E40" s="250">
        <v>9.2507182500000003</v>
      </c>
      <c r="F40" s="250">
        <v>7.9980331299999996</v>
      </c>
      <c r="G40" s="250">
        <v>21.577248000000001</v>
      </c>
      <c r="H40" s="250">
        <v>7.9108509099999997</v>
      </c>
      <c r="I40" s="250"/>
      <c r="J40" s="250"/>
      <c r="K40" s="250"/>
      <c r="L40" s="250"/>
      <c r="M40" s="250"/>
      <c r="N40" s="251"/>
      <c r="O40" s="273">
        <f t="shared" si="2"/>
        <v>55.685489250000003</v>
      </c>
      <c r="P40" s="2"/>
      <c r="R40" s="9"/>
    </row>
    <row r="41" spans="1:18" ht="18" customHeight="1">
      <c r="B41" s="275" t="s">
        <v>267</v>
      </c>
      <c r="C41" s="257">
        <f>SUM(C42:C46)</f>
        <v>-2.3256639999999999E-2</v>
      </c>
      <c r="D41" s="258">
        <f>SUM(D42:D46)</f>
        <v>-2.329521E-2</v>
      </c>
      <c r="E41" s="258">
        <f t="shared" ref="E41:N41" si="9">SUM(E42:E46)</f>
        <v>0</v>
      </c>
      <c r="F41" s="258">
        <f t="shared" si="9"/>
        <v>0</v>
      </c>
      <c r="G41" s="258">
        <f t="shared" si="9"/>
        <v>0</v>
      </c>
      <c r="H41" s="258">
        <f t="shared" si="9"/>
        <v>0</v>
      </c>
      <c r="I41" s="258">
        <f t="shared" si="9"/>
        <v>0</v>
      </c>
      <c r="J41" s="258">
        <f t="shared" si="9"/>
        <v>0</v>
      </c>
      <c r="K41" s="258">
        <f t="shared" si="9"/>
        <v>0</v>
      </c>
      <c r="L41" s="258">
        <f t="shared" si="9"/>
        <v>0</v>
      </c>
      <c r="M41" s="258">
        <f t="shared" si="9"/>
        <v>0</v>
      </c>
      <c r="N41" s="259">
        <f t="shared" si="9"/>
        <v>0</v>
      </c>
      <c r="O41" s="276">
        <f t="shared" si="2"/>
        <v>-4.6551849999999999E-2</v>
      </c>
      <c r="P41" s="2"/>
      <c r="R41" s="9"/>
    </row>
    <row r="42" spans="1:18">
      <c r="A42" s="254"/>
      <c r="B42" s="265" t="s">
        <v>251</v>
      </c>
      <c r="C42" s="252">
        <v>-1.7466909999999999E-2</v>
      </c>
      <c r="D42" s="250">
        <v>-1.6659409999999999E-2</v>
      </c>
      <c r="E42" s="250">
        <v>0</v>
      </c>
      <c r="F42" s="250">
        <v>0</v>
      </c>
      <c r="G42" s="250">
        <v>0</v>
      </c>
      <c r="H42" s="250">
        <v>0</v>
      </c>
      <c r="I42" s="250"/>
      <c r="J42" s="250"/>
      <c r="K42" s="250"/>
      <c r="L42" s="250"/>
      <c r="M42" s="250"/>
      <c r="N42" s="251"/>
      <c r="O42" s="273">
        <f t="shared" si="2"/>
        <v>-3.4126320000000002E-2</v>
      </c>
      <c r="P42" s="2"/>
      <c r="R42" s="9"/>
    </row>
    <row r="43" spans="1:18">
      <c r="A43" s="254"/>
      <c r="B43" s="265" t="s">
        <v>252</v>
      </c>
      <c r="C43" s="252">
        <v>0</v>
      </c>
      <c r="D43" s="250">
        <v>0</v>
      </c>
      <c r="E43" s="250">
        <v>0</v>
      </c>
      <c r="F43" s="250">
        <v>0</v>
      </c>
      <c r="G43" s="250">
        <v>0</v>
      </c>
      <c r="H43" s="250">
        <v>0</v>
      </c>
      <c r="I43" s="250"/>
      <c r="J43" s="250"/>
      <c r="K43" s="250"/>
      <c r="L43" s="250"/>
      <c r="M43" s="250"/>
      <c r="N43" s="251"/>
      <c r="O43" s="273">
        <f t="shared" si="2"/>
        <v>0</v>
      </c>
      <c r="P43" s="2"/>
      <c r="R43" s="9"/>
    </row>
    <row r="44" spans="1:18">
      <c r="A44" s="254"/>
      <c r="B44" s="265" t="s">
        <v>253</v>
      </c>
      <c r="C44" s="252">
        <v>-5.7897299999999999E-3</v>
      </c>
      <c r="D44" s="250">
        <v>-6.6357999999999999E-3</v>
      </c>
      <c r="E44" s="250"/>
      <c r="F44" s="250"/>
      <c r="G44" s="250"/>
      <c r="H44" s="250"/>
      <c r="I44" s="250"/>
      <c r="J44" s="250"/>
      <c r="K44" s="250"/>
      <c r="L44" s="250"/>
      <c r="M44" s="250"/>
      <c r="N44" s="251"/>
      <c r="O44" s="273">
        <f t="shared" si="2"/>
        <v>-1.2425530000000001E-2</v>
      </c>
      <c r="P44" s="2"/>
      <c r="R44" s="9"/>
    </row>
    <row r="45" spans="1:18">
      <c r="A45" s="254"/>
      <c r="B45" s="265" t="s">
        <v>254</v>
      </c>
      <c r="C45" s="252"/>
      <c r="D45" s="250"/>
      <c r="E45" s="250"/>
      <c r="F45" s="250"/>
      <c r="G45" s="250"/>
      <c r="H45" s="250"/>
      <c r="I45" s="250"/>
      <c r="J45" s="250"/>
      <c r="K45" s="250"/>
      <c r="L45" s="250"/>
      <c r="M45" s="250"/>
      <c r="N45" s="251"/>
      <c r="O45" s="273">
        <f t="shared" si="2"/>
        <v>0</v>
      </c>
      <c r="P45" s="2"/>
      <c r="R45" s="9"/>
    </row>
    <row r="46" spans="1:18">
      <c r="A46" s="254"/>
      <c r="B46" s="265" t="s">
        <v>268</v>
      </c>
      <c r="C46" s="252"/>
      <c r="D46" s="250"/>
      <c r="E46" s="250"/>
      <c r="F46" s="250"/>
      <c r="G46" s="250"/>
      <c r="H46" s="250"/>
      <c r="I46" s="250"/>
      <c r="J46" s="250"/>
      <c r="K46" s="250"/>
      <c r="L46" s="250"/>
      <c r="M46" s="250"/>
      <c r="N46" s="251"/>
      <c r="O46" s="273">
        <f t="shared" si="2"/>
        <v>0</v>
      </c>
      <c r="P46" s="2"/>
      <c r="R46" s="9"/>
    </row>
    <row r="47" spans="1:18" ht="24.95" customHeight="1">
      <c r="A47" s="254"/>
      <c r="B47" s="25" t="s">
        <v>269</v>
      </c>
      <c r="C47" s="244">
        <f>C9-C16</f>
        <v>32.519566050000037</v>
      </c>
      <c r="D47" s="245">
        <f>D9-D16</f>
        <v>34.404820109999946</v>
      </c>
      <c r="E47" s="245">
        <f t="shared" ref="E47:N47" si="10">E9-E16</f>
        <v>63.861860950000107</v>
      </c>
      <c r="F47" s="245">
        <f t="shared" si="10"/>
        <v>304.90098582099995</v>
      </c>
      <c r="G47" s="245">
        <f t="shared" si="10"/>
        <v>3.9285506100001157</v>
      </c>
      <c r="H47" s="245">
        <f t="shared" si="10"/>
        <v>-50.041092550000144</v>
      </c>
      <c r="I47" s="245">
        <f t="shared" si="10"/>
        <v>0</v>
      </c>
      <c r="J47" s="245">
        <f t="shared" si="10"/>
        <v>0</v>
      </c>
      <c r="K47" s="245">
        <f t="shared" si="10"/>
        <v>0</v>
      </c>
      <c r="L47" s="245">
        <f t="shared" si="10"/>
        <v>0</v>
      </c>
      <c r="M47" s="245">
        <f t="shared" si="10"/>
        <v>0</v>
      </c>
      <c r="N47" s="247">
        <f t="shared" si="10"/>
        <v>0</v>
      </c>
      <c r="O47" s="271">
        <f t="shared" si="2"/>
        <v>389.57469099100001</v>
      </c>
      <c r="P47" s="2"/>
      <c r="R47" s="9"/>
    </row>
    <row r="48" spans="1:18" ht="24.95" customHeight="1">
      <c r="A48" s="254"/>
      <c r="B48" s="25" t="s">
        <v>296</v>
      </c>
      <c r="C48" s="252"/>
      <c r="D48" s="250"/>
      <c r="E48" s="250"/>
      <c r="F48" s="250"/>
      <c r="G48" s="250"/>
      <c r="H48" s="250"/>
      <c r="I48" s="250"/>
      <c r="J48" s="250"/>
      <c r="K48" s="250"/>
      <c r="L48" s="250"/>
      <c r="M48" s="250"/>
      <c r="N48" s="251"/>
      <c r="O48" s="273"/>
      <c r="P48" s="2"/>
      <c r="R48" s="9"/>
    </row>
    <row r="49" spans="1:18" ht="18" customHeight="1">
      <c r="A49" s="254"/>
      <c r="B49" s="272" t="s">
        <v>272</v>
      </c>
      <c r="C49" s="244">
        <f>C8-C15</f>
        <v>-8.180401609999933</v>
      </c>
      <c r="D49" s="245">
        <f>D8-D15</f>
        <v>-21.284087910000039</v>
      </c>
      <c r="E49" s="245">
        <f t="shared" ref="E49:N49" si="11">E8-E15</f>
        <v>-2.2735454399999071</v>
      </c>
      <c r="F49" s="245">
        <f t="shared" si="11"/>
        <v>230.76284012099995</v>
      </c>
      <c r="G49" s="245">
        <f t="shared" si="11"/>
        <v>-84.429848219999883</v>
      </c>
      <c r="H49" s="245">
        <f t="shared" si="11"/>
        <v>-102.93335229000013</v>
      </c>
      <c r="I49" s="245">
        <f t="shared" si="11"/>
        <v>0</v>
      </c>
      <c r="J49" s="245">
        <f t="shared" si="11"/>
        <v>0</v>
      </c>
      <c r="K49" s="245">
        <f t="shared" si="11"/>
        <v>0</v>
      </c>
      <c r="L49" s="245">
        <f t="shared" si="11"/>
        <v>0</v>
      </c>
      <c r="M49" s="245">
        <f t="shared" si="11"/>
        <v>0</v>
      </c>
      <c r="N49" s="247">
        <f t="shared" si="11"/>
        <v>0</v>
      </c>
      <c r="O49" s="271">
        <f t="shared" si="2"/>
        <v>11.661604651000061</v>
      </c>
      <c r="P49" s="2"/>
      <c r="R49" s="9"/>
    </row>
    <row r="50" spans="1:18" ht="18" customHeight="1">
      <c r="A50" s="254"/>
      <c r="B50" s="272" t="s">
        <v>273</v>
      </c>
      <c r="C50" s="244">
        <f>C49-C14</f>
        <v>-8.1841816099999338</v>
      </c>
      <c r="D50" s="245">
        <f>D49-D14</f>
        <v>-21.451824190000039</v>
      </c>
      <c r="E50" s="245">
        <f t="shared" ref="E50:N50" si="12">E49-E14</f>
        <v>-8.0375636699999067</v>
      </c>
      <c r="F50" s="245">
        <f t="shared" si="12"/>
        <v>230.72195502099996</v>
      </c>
      <c r="G50" s="245">
        <f t="shared" si="12"/>
        <v>-84.601139119999885</v>
      </c>
      <c r="H50" s="245">
        <f t="shared" si="12"/>
        <v>-103.69889489000013</v>
      </c>
      <c r="I50" s="245">
        <f t="shared" si="12"/>
        <v>0</v>
      </c>
      <c r="J50" s="245">
        <f t="shared" si="12"/>
        <v>0</v>
      </c>
      <c r="K50" s="245">
        <f t="shared" si="12"/>
        <v>0</v>
      </c>
      <c r="L50" s="245">
        <f t="shared" si="12"/>
        <v>0</v>
      </c>
      <c r="M50" s="245">
        <f t="shared" si="12"/>
        <v>0</v>
      </c>
      <c r="N50" s="247">
        <f t="shared" si="12"/>
        <v>0</v>
      </c>
      <c r="O50" s="271">
        <f t="shared" si="2"/>
        <v>4.7483515410000621</v>
      </c>
      <c r="P50" s="2"/>
      <c r="R50" s="9"/>
    </row>
    <row r="51" spans="1:18" ht="18" customHeight="1">
      <c r="A51" s="254"/>
      <c r="B51" s="272" t="s">
        <v>274</v>
      </c>
      <c r="C51" s="244">
        <f>C49-C74</f>
        <v>-35.970604669999929</v>
      </c>
      <c r="D51" s="245">
        <f>D49-D74</f>
        <v>-48.426974240000035</v>
      </c>
      <c r="E51" s="245">
        <f t="shared" ref="E51:N51" si="13">E49-E74</f>
        <v>-29.403505629999906</v>
      </c>
      <c r="F51" s="245">
        <f t="shared" si="13"/>
        <v>203.58942976099996</v>
      </c>
      <c r="G51" s="245">
        <f t="shared" si="13"/>
        <v>-111.47288851999988</v>
      </c>
      <c r="H51" s="245">
        <f t="shared" si="13"/>
        <v>-130.02236231000012</v>
      </c>
      <c r="I51" s="245">
        <f t="shared" si="13"/>
        <v>0</v>
      </c>
      <c r="J51" s="245">
        <f t="shared" si="13"/>
        <v>0</v>
      </c>
      <c r="K51" s="245">
        <f t="shared" si="13"/>
        <v>0</v>
      </c>
      <c r="L51" s="245">
        <f t="shared" si="13"/>
        <v>0</v>
      </c>
      <c r="M51" s="245">
        <f t="shared" si="13"/>
        <v>0</v>
      </c>
      <c r="N51" s="247">
        <f t="shared" si="13"/>
        <v>0</v>
      </c>
      <c r="O51" s="271">
        <f t="shared" si="2"/>
        <v>-151.7069056089999</v>
      </c>
      <c r="P51" s="2"/>
      <c r="R51" s="9"/>
    </row>
    <row r="52" spans="1:18" ht="24.95" customHeight="1">
      <c r="A52" s="254"/>
      <c r="B52" s="25" t="s">
        <v>275</v>
      </c>
      <c r="C52" s="244">
        <f>SUM(C53:C54)</f>
        <v>-6.2647642599999998</v>
      </c>
      <c r="D52" s="245">
        <f>SUM(D53:D54)</f>
        <v>-17.554378329999992</v>
      </c>
      <c r="E52" s="245">
        <f t="shared" ref="E52:N52" si="14">SUM(E53:E54)</f>
        <v>-13.048134660000001</v>
      </c>
      <c r="F52" s="245">
        <f t="shared" si="14"/>
        <v>-21.85120379</v>
      </c>
      <c r="G52" s="245">
        <f t="shared" si="14"/>
        <v>-5.7832972799999993</v>
      </c>
      <c r="H52" s="245">
        <f t="shared" si="14"/>
        <v>-16.22632685</v>
      </c>
      <c r="I52" s="245">
        <f t="shared" si="14"/>
        <v>0</v>
      </c>
      <c r="J52" s="245">
        <f t="shared" si="14"/>
        <v>0</v>
      </c>
      <c r="K52" s="245">
        <f t="shared" si="14"/>
        <v>0</v>
      </c>
      <c r="L52" s="245">
        <f t="shared" si="14"/>
        <v>0</v>
      </c>
      <c r="M52" s="245">
        <f t="shared" si="14"/>
        <v>0</v>
      </c>
      <c r="N52" s="247">
        <f t="shared" si="14"/>
        <v>0</v>
      </c>
      <c r="O52" s="271">
        <f t="shared" si="2"/>
        <v>-80.728105169999992</v>
      </c>
      <c r="P52" s="2"/>
      <c r="R52" s="9"/>
    </row>
    <row r="53" spans="1:18">
      <c r="A53" s="254"/>
      <c r="B53" s="35" t="s">
        <v>276</v>
      </c>
      <c r="C53" s="252">
        <v>5.4822696400000002</v>
      </c>
      <c r="D53" s="250">
        <v>21.154489430000005</v>
      </c>
      <c r="E53" s="250">
        <v>0.195217</v>
      </c>
      <c r="F53" s="250">
        <v>3.1571477100000007</v>
      </c>
      <c r="G53" s="250">
        <v>12.73414464</v>
      </c>
      <c r="H53" s="250">
        <v>7.0405803999999996</v>
      </c>
      <c r="I53" s="250"/>
      <c r="J53" s="250"/>
      <c r="K53" s="250"/>
      <c r="L53" s="250"/>
      <c r="M53" s="250"/>
      <c r="N53" s="251"/>
      <c r="O53" s="273">
        <f t="shared" si="2"/>
        <v>49.763848820000007</v>
      </c>
      <c r="P53" s="2"/>
      <c r="R53" s="9"/>
    </row>
    <row r="54" spans="1:18">
      <c r="A54" s="254"/>
      <c r="B54" s="35" t="s">
        <v>277</v>
      </c>
      <c r="C54" s="252">
        <v>-11.7470339</v>
      </c>
      <c r="D54" s="250">
        <v>-38.708867759999997</v>
      </c>
      <c r="E54" s="250">
        <v>-13.24335166</v>
      </c>
      <c r="F54" s="250">
        <v>-25.0083515</v>
      </c>
      <c r="G54" s="250">
        <v>-18.51744192</v>
      </c>
      <c r="H54" s="250">
        <v>-23.266907249999999</v>
      </c>
      <c r="I54" s="250"/>
      <c r="J54" s="250"/>
      <c r="K54" s="250"/>
      <c r="L54" s="250"/>
      <c r="M54" s="250"/>
      <c r="N54" s="251"/>
      <c r="O54" s="273">
        <f t="shared" si="2"/>
        <v>-130.49195398999998</v>
      </c>
      <c r="P54" s="2"/>
      <c r="R54" s="9"/>
    </row>
    <row r="55" spans="1:18" ht="24.95" customHeight="1">
      <c r="A55" s="254"/>
      <c r="B55" s="25" t="s">
        <v>278</v>
      </c>
      <c r="C55" s="244">
        <f>+C56+C59+C62+C65+C66</f>
        <v>14.445165870000011</v>
      </c>
      <c r="D55" s="245">
        <f t="shared" ref="D55:N55" si="15">+D56+D59+D62+D65+D66</f>
        <v>38.838466240000002</v>
      </c>
      <c r="E55" s="245">
        <f t="shared" si="15"/>
        <v>15.321680099999895</v>
      </c>
      <c r="F55" s="245">
        <f t="shared" si="15"/>
        <v>-208.91163633099993</v>
      </c>
      <c r="G55" s="245">
        <f t="shared" si="15"/>
        <v>90.213145499999925</v>
      </c>
      <c r="H55" s="245">
        <f t="shared" si="15"/>
        <v>119.15967914000012</v>
      </c>
      <c r="I55" s="245">
        <f t="shared" si="15"/>
        <v>0</v>
      </c>
      <c r="J55" s="245">
        <f t="shared" si="15"/>
        <v>0</v>
      </c>
      <c r="K55" s="245">
        <f t="shared" si="15"/>
        <v>0</v>
      </c>
      <c r="L55" s="245">
        <f t="shared" si="15"/>
        <v>0</v>
      </c>
      <c r="M55" s="245">
        <f t="shared" si="15"/>
        <v>0</v>
      </c>
      <c r="N55" s="247">
        <f t="shared" si="15"/>
        <v>0</v>
      </c>
      <c r="O55" s="271">
        <f>SUM(C55:N55)</f>
        <v>69.06650051900003</v>
      </c>
      <c r="P55" s="2"/>
      <c r="R55" s="9"/>
    </row>
    <row r="56" spans="1:18">
      <c r="A56" s="254"/>
      <c r="B56" s="35" t="s">
        <v>279</v>
      </c>
      <c r="C56" s="252">
        <f>+C57+C58</f>
        <v>-8.8107761900000092</v>
      </c>
      <c r="D56" s="250">
        <f>+D57+D58</f>
        <v>-12.26122893</v>
      </c>
      <c r="E56" s="250">
        <f t="shared" ref="E56:N56" si="16">+E57+E58</f>
        <v>-108.61790550000001</v>
      </c>
      <c r="F56" s="250">
        <f t="shared" si="16"/>
        <v>90.277743279999996</v>
      </c>
      <c r="G56" s="250">
        <f t="shared" si="16"/>
        <v>-182.84192754</v>
      </c>
      <c r="H56" s="250">
        <f t="shared" si="16"/>
        <v>35.79921427</v>
      </c>
      <c r="I56" s="250">
        <f t="shared" si="16"/>
        <v>0</v>
      </c>
      <c r="J56" s="250">
        <f t="shared" si="16"/>
        <v>0</v>
      </c>
      <c r="K56" s="250">
        <f t="shared" si="16"/>
        <v>0</v>
      </c>
      <c r="L56" s="250">
        <f t="shared" si="16"/>
        <v>0</v>
      </c>
      <c r="M56" s="250">
        <f t="shared" si="16"/>
        <v>0</v>
      </c>
      <c r="N56" s="251">
        <f t="shared" si="16"/>
        <v>0</v>
      </c>
      <c r="O56" s="273">
        <f t="shared" si="2"/>
        <v>-186.45488061000003</v>
      </c>
      <c r="P56" s="2"/>
      <c r="R56" s="9"/>
    </row>
    <row r="57" spans="1:18">
      <c r="A57" s="254"/>
      <c r="B57" s="265" t="s">
        <v>280</v>
      </c>
      <c r="C57" s="252"/>
      <c r="D57" s="250"/>
      <c r="E57" s="250"/>
      <c r="F57" s="250"/>
      <c r="G57" s="250"/>
      <c r="H57" s="250"/>
      <c r="I57" s="250"/>
      <c r="J57" s="250"/>
      <c r="K57" s="250"/>
      <c r="L57" s="250"/>
      <c r="M57" s="250"/>
      <c r="N57" s="251"/>
      <c r="O57" s="273">
        <f t="shared" si="2"/>
        <v>0</v>
      </c>
      <c r="P57" s="2"/>
      <c r="R57" s="9"/>
    </row>
    <row r="58" spans="1:18">
      <c r="A58" s="254"/>
      <c r="B58" s="265" t="s">
        <v>281</v>
      </c>
      <c r="C58" s="252">
        <v>-8.8107761900000092</v>
      </c>
      <c r="D58" s="250">
        <v>-12.26122893</v>
      </c>
      <c r="E58" s="250">
        <v>-108.61790550000001</v>
      </c>
      <c r="F58" s="250">
        <v>90.277743279999996</v>
      </c>
      <c r="G58" s="250">
        <v>-182.84192754</v>
      </c>
      <c r="H58" s="250">
        <v>35.79921427</v>
      </c>
      <c r="I58" s="250"/>
      <c r="J58" s="250"/>
      <c r="K58" s="250"/>
      <c r="L58" s="250"/>
      <c r="M58" s="250"/>
      <c r="N58" s="251"/>
      <c r="O58" s="273">
        <f t="shared" si="2"/>
        <v>-186.45488061000003</v>
      </c>
      <c r="P58" s="2"/>
      <c r="R58" s="9"/>
    </row>
    <row r="59" spans="1:18">
      <c r="A59" s="254"/>
      <c r="B59" s="687" t="s">
        <v>282</v>
      </c>
      <c r="C59" s="252">
        <f>+C60+C61</f>
        <v>31.687256230000017</v>
      </c>
      <c r="D59" s="250">
        <f>+D60+D61</f>
        <v>40.290659659999896</v>
      </c>
      <c r="E59" s="250">
        <f t="shared" ref="E59:N59" si="17">+E60+E61</f>
        <v>-9.4225241299999976</v>
      </c>
      <c r="F59" s="250">
        <f t="shared" si="17"/>
        <v>-351.18317740000003</v>
      </c>
      <c r="G59" s="250">
        <f t="shared" si="17"/>
        <v>283.25931229000003</v>
      </c>
      <c r="H59" s="250">
        <f t="shared" si="17"/>
        <v>57.558165929999987</v>
      </c>
      <c r="I59" s="250">
        <f t="shared" si="17"/>
        <v>0</v>
      </c>
      <c r="J59" s="250">
        <f t="shared" si="17"/>
        <v>0</v>
      </c>
      <c r="K59" s="250">
        <f t="shared" si="17"/>
        <v>0</v>
      </c>
      <c r="L59" s="250">
        <f t="shared" si="17"/>
        <v>0</v>
      </c>
      <c r="M59" s="250">
        <f t="shared" si="17"/>
        <v>0</v>
      </c>
      <c r="N59" s="251">
        <f t="shared" si="17"/>
        <v>0</v>
      </c>
      <c r="O59" s="273">
        <f t="shared" si="2"/>
        <v>52.189692579999885</v>
      </c>
      <c r="P59" s="2"/>
      <c r="R59" s="9"/>
    </row>
    <row r="60" spans="1:18">
      <c r="A60" s="254"/>
      <c r="B60" s="688" t="s">
        <v>280</v>
      </c>
      <c r="C60" s="252">
        <v>38.185256230000007</v>
      </c>
      <c r="D60" s="250">
        <v>28.527659659999998</v>
      </c>
      <c r="E60" s="250">
        <v>3.2414758700000021</v>
      </c>
      <c r="F60" s="250">
        <v>-26.749177400000001</v>
      </c>
      <c r="G60" s="250">
        <v>4.9023122899999976</v>
      </c>
      <c r="H60" s="250">
        <v>64.608165929999998</v>
      </c>
      <c r="I60" s="250"/>
      <c r="J60" s="250"/>
      <c r="K60" s="250"/>
      <c r="L60" s="250"/>
      <c r="M60" s="250"/>
      <c r="N60" s="251"/>
      <c r="O60" s="273">
        <f t="shared" si="2"/>
        <v>112.71569258</v>
      </c>
      <c r="P60" s="2"/>
      <c r="R60" s="9"/>
    </row>
    <row r="61" spans="1:18">
      <c r="A61" s="254"/>
      <c r="B61" s="688" t="s">
        <v>281</v>
      </c>
      <c r="C61" s="252">
        <v>-6.4979999999999896</v>
      </c>
      <c r="D61" s="250">
        <v>11.7629999999999</v>
      </c>
      <c r="E61" s="250">
        <v>-12.664</v>
      </c>
      <c r="F61" s="250">
        <v>-324.43400000000003</v>
      </c>
      <c r="G61" s="250">
        <v>278.35700000000003</v>
      </c>
      <c r="H61" s="250">
        <v>-7.0500000000000096</v>
      </c>
      <c r="I61" s="250"/>
      <c r="J61" s="250"/>
      <c r="K61" s="250"/>
      <c r="L61" s="250"/>
      <c r="M61" s="250"/>
      <c r="N61" s="251"/>
      <c r="O61" s="273">
        <f t="shared" si="2"/>
        <v>-60.526000000000124</v>
      </c>
      <c r="P61" s="2"/>
      <c r="R61" s="9"/>
    </row>
    <row r="62" spans="1:18">
      <c r="A62" s="254"/>
      <c r="B62" s="35" t="s">
        <v>283</v>
      </c>
      <c r="C62" s="252">
        <f>+C63+C64</f>
        <v>0</v>
      </c>
      <c r="D62" s="250">
        <f>+D63+D64</f>
        <v>0</v>
      </c>
      <c r="E62" s="250">
        <f t="shared" ref="E62:N62" si="18">+E63+E64</f>
        <v>0</v>
      </c>
      <c r="F62" s="250">
        <f t="shared" si="18"/>
        <v>0</v>
      </c>
      <c r="G62" s="250">
        <f t="shared" si="18"/>
        <v>0</v>
      </c>
      <c r="H62" s="250">
        <f t="shared" si="18"/>
        <v>0</v>
      </c>
      <c r="I62" s="250">
        <f t="shared" si="18"/>
        <v>0</v>
      </c>
      <c r="J62" s="250">
        <f t="shared" si="18"/>
        <v>0</v>
      </c>
      <c r="K62" s="250">
        <f t="shared" si="18"/>
        <v>0</v>
      </c>
      <c r="L62" s="250">
        <f t="shared" si="18"/>
        <v>0</v>
      </c>
      <c r="M62" s="250">
        <f t="shared" si="18"/>
        <v>0</v>
      </c>
      <c r="N62" s="251">
        <f t="shared" si="18"/>
        <v>0</v>
      </c>
      <c r="O62" s="273">
        <f t="shared" si="2"/>
        <v>0</v>
      </c>
      <c r="P62" s="2"/>
      <c r="R62" s="9"/>
    </row>
    <row r="63" spans="1:18">
      <c r="A63" s="254"/>
      <c r="B63" s="265" t="s">
        <v>280</v>
      </c>
      <c r="C63" s="252"/>
      <c r="D63" s="250"/>
      <c r="E63" s="250"/>
      <c r="F63" s="250"/>
      <c r="G63" s="250"/>
      <c r="H63" s="250"/>
      <c r="I63" s="250"/>
      <c r="J63" s="250"/>
      <c r="K63" s="250"/>
      <c r="L63" s="250"/>
      <c r="M63" s="250"/>
      <c r="N63" s="251"/>
      <c r="O63" s="273">
        <f t="shared" si="2"/>
        <v>0</v>
      </c>
      <c r="P63" s="2"/>
      <c r="R63" s="9"/>
    </row>
    <row r="64" spans="1:18">
      <c r="A64" s="254"/>
      <c r="B64" s="265" t="s">
        <v>281</v>
      </c>
      <c r="C64" s="252"/>
      <c r="D64" s="250"/>
      <c r="E64" s="250"/>
      <c r="F64" s="250"/>
      <c r="G64" s="250"/>
      <c r="H64" s="250"/>
      <c r="I64" s="250"/>
      <c r="J64" s="250"/>
      <c r="K64" s="250"/>
      <c r="L64" s="250"/>
      <c r="M64" s="250"/>
      <c r="N64" s="251"/>
      <c r="O64" s="273">
        <f t="shared" si="2"/>
        <v>0</v>
      </c>
      <c r="P64" s="2"/>
      <c r="R64" s="9"/>
    </row>
    <row r="65" spans="1:18">
      <c r="A65" s="254"/>
      <c r="B65" s="35" t="s">
        <v>284</v>
      </c>
      <c r="C65" s="252">
        <v>25.024808050000001</v>
      </c>
      <c r="D65" s="250">
        <v>45.879688710000003</v>
      </c>
      <c r="E65" s="250">
        <v>185.39251616999999</v>
      </c>
      <c r="F65" s="250">
        <v>23.25140304</v>
      </c>
      <c r="G65" s="250">
        <v>-15.86949611</v>
      </c>
      <c r="H65" s="250">
        <v>40.052831439999999</v>
      </c>
      <c r="I65" s="250"/>
      <c r="J65" s="250"/>
      <c r="K65" s="250"/>
      <c r="L65" s="250"/>
      <c r="M65" s="250"/>
      <c r="N65" s="251"/>
      <c r="O65" s="273">
        <f t="shared" si="2"/>
        <v>303.73175129999998</v>
      </c>
      <c r="P65" s="2"/>
      <c r="R65" s="9"/>
    </row>
    <row r="66" spans="1:18">
      <c r="A66" s="254"/>
      <c r="B66" s="35" t="s">
        <v>285</v>
      </c>
      <c r="C66" s="252">
        <f>SUM(C67:C71)</f>
        <v>-33.456122219999997</v>
      </c>
      <c r="D66" s="250">
        <f>SUM(D67:D71)</f>
        <v>-35.070653199999896</v>
      </c>
      <c r="E66" s="250">
        <f t="shared" ref="E66:N66" si="19">SUM(E67:E71)</f>
        <v>-52.030406440000093</v>
      </c>
      <c r="F66" s="250">
        <f t="shared" si="19"/>
        <v>28.742394749000105</v>
      </c>
      <c r="G66" s="250">
        <f t="shared" si="19"/>
        <v>5.6652568599999</v>
      </c>
      <c r="H66" s="250">
        <f t="shared" si="19"/>
        <v>-14.250532499999881</v>
      </c>
      <c r="I66" s="250">
        <f t="shared" si="19"/>
        <v>0</v>
      </c>
      <c r="J66" s="250">
        <f t="shared" si="19"/>
        <v>0</v>
      </c>
      <c r="K66" s="250">
        <f t="shared" si="19"/>
        <v>0</v>
      </c>
      <c r="L66" s="250">
        <f t="shared" si="19"/>
        <v>0</v>
      </c>
      <c r="M66" s="250">
        <f t="shared" si="19"/>
        <v>0</v>
      </c>
      <c r="N66" s="251">
        <f t="shared" si="19"/>
        <v>0</v>
      </c>
      <c r="O66" s="273">
        <f t="shared" si="2"/>
        <v>-100.40006275099985</v>
      </c>
      <c r="P66" s="2"/>
      <c r="R66" s="9"/>
    </row>
    <row r="67" spans="1:18">
      <c r="A67" s="254"/>
      <c r="B67" s="265" t="s">
        <v>286</v>
      </c>
      <c r="C67" s="252"/>
      <c r="D67" s="250"/>
      <c r="E67" s="250"/>
      <c r="F67" s="250"/>
      <c r="G67" s="250"/>
      <c r="H67" s="250"/>
      <c r="I67" s="250"/>
      <c r="J67" s="250"/>
      <c r="K67" s="250"/>
      <c r="L67" s="250"/>
      <c r="M67" s="250"/>
      <c r="N67" s="251"/>
      <c r="O67" s="273">
        <f t="shared" si="2"/>
        <v>0</v>
      </c>
      <c r="P67" s="2"/>
      <c r="R67" s="9"/>
    </row>
    <row r="68" spans="1:18">
      <c r="A68" s="254"/>
      <c r="B68" s="265" t="s">
        <v>287</v>
      </c>
      <c r="C68" s="252"/>
      <c r="D68" s="250"/>
      <c r="E68" s="250"/>
      <c r="F68" s="250"/>
      <c r="G68" s="250"/>
      <c r="H68" s="250"/>
      <c r="I68" s="250"/>
      <c r="J68" s="250"/>
      <c r="K68" s="250"/>
      <c r="L68" s="250"/>
      <c r="M68" s="250"/>
      <c r="N68" s="251"/>
      <c r="O68" s="273">
        <f t="shared" si="2"/>
        <v>0</v>
      </c>
      <c r="P68" s="2"/>
      <c r="R68" s="9"/>
    </row>
    <row r="69" spans="1:18">
      <c r="A69" s="254"/>
      <c r="B69" s="265" t="s">
        <v>288</v>
      </c>
      <c r="C69" s="252"/>
      <c r="D69" s="250"/>
      <c r="E69" s="250"/>
      <c r="F69" s="250"/>
      <c r="G69" s="250"/>
      <c r="H69" s="250"/>
      <c r="I69" s="250"/>
      <c r="J69" s="250"/>
      <c r="K69" s="250"/>
      <c r="L69" s="250"/>
      <c r="M69" s="250"/>
      <c r="N69" s="251"/>
      <c r="O69" s="273">
        <f t="shared" si="2"/>
        <v>0</v>
      </c>
      <c r="P69" s="2"/>
      <c r="R69" s="9"/>
    </row>
    <row r="70" spans="1:18">
      <c r="A70" s="254"/>
      <c r="B70" s="265" t="s">
        <v>289</v>
      </c>
      <c r="C70" s="252">
        <v>-27.79020306</v>
      </c>
      <c r="D70" s="250">
        <v>-27.14288633</v>
      </c>
      <c r="E70" s="250">
        <v>-27.129960189999998</v>
      </c>
      <c r="F70" s="250">
        <v>-27.173410359999998</v>
      </c>
      <c r="G70" s="250">
        <v>-27.043040300000001</v>
      </c>
      <c r="H70" s="250">
        <v>-27.08901002</v>
      </c>
      <c r="I70" s="250"/>
      <c r="J70" s="250"/>
      <c r="K70" s="250"/>
      <c r="L70" s="250"/>
      <c r="M70" s="250"/>
      <c r="N70" s="251"/>
      <c r="O70" s="273">
        <f t="shared" si="2"/>
        <v>-163.36851025999999</v>
      </c>
      <c r="P70" s="2"/>
      <c r="R70" s="9"/>
    </row>
    <row r="71" spans="1:18">
      <c r="A71" s="254"/>
      <c r="B71" s="265" t="s">
        <v>285</v>
      </c>
      <c r="C71" s="727">
        <f xml:space="preserve"> -10.89031639 + 5.22439723</f>
        <v>-5.6659191600000005</v>
      </c>
      <c r="D71" s="724">
        <f xml:space="preserve"> -12.6754637299999 + 4.74769686</f>
        <v>-7.9277668699998998</v>
      </c>
      <c r="E71" s="724">
        <f xml:space="preserve"> -31.3871266500001 + 6.4866804</f>
        <v>-24.900446250000098</v>
      </c>
      <c r="F71" s="724">
        <f xml:space="preserve"> -18.1680361509999 + 74.08384126</f>
        <v>55.915805109000104</v>
      </c>
      <c r="G71" s="724">
        <f xml:space="preserve"> 27.1007925599999 + 5.6075046</f>
        <v>32.708297159999901</v>
      </c>
      <c r="H71" s="724">
        <f xml:space="preserve"> 7.90596752000012 + 4.93251</f>
        <v>12.838477520000119</v>
      </c>
      <c r="I71" s="724"/>
      <c r="J71" s="724"/>
      <c r="K71" s="724"/>
      <c r="L71" s="724"/>
      <c r="M71" s="724"/>
      <c r="N71" s="725"/>
      <c r="O71" s="273">
        <f t="shared" si="2"/>
        <v>62.968447509000121</v>
      </c>
      <c r="P71" s="2"/>
      <c r="R71" s="9"/>
    </row>
    <row r="72" spans="1:18" ht="24.95" customHeight="1">
      <c r="A72" s="254"/>
      <c r="B72" s="25" t="s">
        <v>290</v>
      </c>
      <c r="C72" s="244">
        <f>-C49-C52-C55</f>
        <v>-7.815970093361102E-14</v>
      </c>
      <c r="D72" s="245">
        <f>-D49-D52-D55</f>
        <v>0</v>
      </c>
      <c r="E72" s="245">
        <f t="shared" ref="E72:N72" si="20">-E49-E52-E55</f>
        <v>0</v>
      </c>
      <c r="F72" s="245">
        <f t="shared" si="20"/>
        <v>0</v>
      </c>
      <c r="G72" s="245">
        <f t="shared" si="20"/>
        <v>0</v>
      </c>
      <c r="H72" s="245">
        <f t="shared" si="20"/>
        <v>0</v>
      </c>
      <c r="I72" s="245">
        <f t="shared" si="20"/>
        <v>0</v>
      </c>
      <c r="J72" s="245">
        <f t="shared" si="20"/>
        <v>0</v>
      </c>
      <c r="K72" s="245">
        <f t="shared" si="20"/>
        <v>0</v>
      </c>
      <c r="L72" s="245">
        <f t="shared" si="20"/>
        <v>0</v>
      </c>
      <c r="M72" s="245">
        <f t="shared" si="20"/>
        <v>0</v>
      </c>
      <c r="N72" s="247">
        <f t="shared" si="20"/>
        <v>0</v>
      </c>
      <c r="O72" s="271">
        <f t="shared" si="2"/>
        <v>-7.815970093361102E-14</v>
      </c>
      <c r="P72" s="2"/>
      <c r="R72" s="9"/>
    </row>
    <row r="73" spans="1:18">
      <c r="A73" s="254"/>
      <c r="B73" s="42"/>
      <c r="C73" s="252"/>
      <c r="D73" s="250"/>
      <c r="E73" s="250"/>
      <c r="F73" s="250"/>
      <c r="G73" s="250"/>
      <c r="H73" s="250"/>
      <c r="I73" s="250"/>
      <c r="J73" s="250"/>
      <c r="K73" s="250"/>
      <c r="L73" s="250"/>
      <c r="M73" s="250"/>
      <c r="N73" s="251"/>
      <c r="O73" s="273"/>
      <c r="P73" s="2"/>
      <c r="R73" s="9"/>
    </row>
    <row r="74" spans="1:18" ht="24.95" customHeight="1">
      <c r="A74" s="254"/>
      <c r="B74" s="25" t="s">
        <v>291</v>
      </c>
      <c r="C74" s="244">
        <v>27.79020306</v>
      </c>
      <c r="D74" s="245">
        <v>27.14288633</v>
      </c>
      <c r="E74" s="245">
        <v>27.129960189999998</v>
      </c>
      <c r="F74" s="245">
        <v>27.173410359999998</v>
      </c>
      <c r="G74" s="245">
        <v>27.043040300000001</v>
      </c>
      <c r="H74" s="245">
        <v>27.08901002</v>
      </c>
      <c r="I74" s="245"/>
      <c r="J74" s="245"/>
      <c r="K74" s="245"/>
      <c r="L74" s="245"/>
      <c r="M74" s="245"/>
      <c r="N74" s="247"/>
      <c r="O74" s="271">
        <f>SUM(C74:N74)</f>
        <v>163.36851025999999</v>
      </c>
      <c r="P74" s="2"/>
      <c r="R74" s="9"/>
    </row>
    <row r="75" spans="1:18" ht="24.95" customHeight="1">
      <c r="A75" s="254"/>
      <c r="B75" s="25" t="s">
        <v>292</v>
      </c>
      <c r="C75" s="252"/>
      <c r="D75" s="250"/>
      <c r="E75" s="250"/>
      <c r="F75" s="250"/>
      <c r="G75" s="250"/>
      <c r="H75" s="250"/>
      <c r="I75" s="250"/>
      <c r="J75" s="250"/>
      <c r="K75" s="250"/>
      <c r="L75" s="250"/>
      <c r="M75" s="250"/>
      <c r="N75" s="251"/>
      <c r="O75" s="273">
        <f>SUM(C75:N75)</f>
        <v>0</v>
      </c>
      <c r="P75" s="2"/>
      <c r="R75" s="9"/>
    </row>
    <row r="76" spans="1:18" ht="24.95" customHeight="1">
      <c r="A76" s="254"/>
      <c r="B76" s="38" t="s">
        <v>56</v>
      </c>
      <c r="C76" s="285"/>
      <c r="D76" s="286"/>
      <c r="E76" s="286"/>
      <c r="F76" s="286"/>
      <c r="G76" s="286"/>
      <c r="H76" s="286"/>
      <c r="I76" s="286"/>
      <c r="J76" s="286"/>
      <c r="K76" s="286"/>
      <c r="L76" s="286"/>
      <c r="M76" s="286"/>
      <c r="N76" s="287"/>
      <c r="O76" s="284">
        <v>26844.7</v>
      </c>
      <c r="P76" s="2"/>
      <c r="R76" s="9"/>
    </row>
    <row r="77" spans="1:18" ht="6" customHeight="1">
      <c r="B77" s="2"/>
      <c r="C77" s="268"/>
      <c r="D77" s="268"/>
      <c r="E77" s="268"/>
      <c r="F77" s="268"/>
      <c r="G77" s="268"/>
      <c r="H77" s="268"/>
      <c r="I77" s="268"/>
      <c r="J77" s="268"/>
      <c r="K77" s="268"/>
      <c r="L77" s="268"/>
      <c r="M77" s="268"/>
      <c r="N77" s="268"/>
      <c r="O77" s="2"/>
      <c r="P77" s="2"/>
      <c r="R77" s="9"/>
    </row>
    <row r="78" spans="1:18">
      <c r="B78" s="2" t="s">
        <v>293</v>
      </c>
      <c r="C78" s="268"/>
      <c r="D78" s="268"/>
      <c r="E78" s="268"/>
      <c r="F78" s="268"/>
      <c r="G78" s="268"/>
      <c r="H78" s="268"/>
      <c r="I78" s="268"/>
      <c r="J78" s="268"/>
      <c r="K78" s="268"/>
      <c r="L78" s="268"/>
      <c r="M78" s="268"/>
      <c r="N78" s="268"/>
      <c r="O78" s="2"/>
      <c r="P78" s="2"/>
      <c r="R78" s="9"/>
    </row>
    <row r="79" spans="1:18">
      <c r="B79" s="2"/>
      <c r="C79" s="2"/>
      <c r="D79" s="2"/>
      <c r="E79" s="2"/>
      <c r="F79" s="2"/>
      <c r="G79" s="2"/>
      <c r="H79" s="2"/>
      <c r="I79" s="2"/>
      <c r="J79" s="2"/>
      <c r="K79" s="2"/>
      <c r="L79" s="2"/>
      <c r="M79" s="2"/>
      <c r="N79" s="2"/>
      <c r="O79" s="2"/>
      <c r="P79" s="2"/>
    </row>
    <row r="80" spans="1:18">
      <c r="B80" s="602"/>
      <c r="C80" s="2"/>
      <c r="D80" s="2"/>
      <c r="E80" s="2"/>
      <c r="F80" s="2"/>
      <c r="G80" s="2"/>
      <c r="H80" s="2"/>
    </row>
    <row r="81" spans="2:14">
      <c r="B81" s="602"/>
      <c r="C81" s="2"/>
      <c r="D81" s="2"/>
      <c r="E81" s="2"/>
      <c r="F81" s="2"/>
      <c r="G81" s="2"/>
      <c r="H81" s="2"/>
    </row>
    <row r="86" spans="2:14">
      <c r="C86" s="361">
        <v>5.2243972300000001</v>
      </c>
      <c r="D86" s="361">
        <v>4.7476968599999996</v>
      </c>
      <c r="E86" s="361">
        <v>6.4866804</v>
      </c>
      <c r="F86" s="361">
        <v>74.08384126</v>
      </c>
      <c r="G86" s="361">
        <v>5.6075046000000004</v>
      </c>
      <c r="H86" s="361">
        <v>4.9325099999999997</v>
      </c>
      <c r="I86" s="361"/>
      <c r="J86" s="361"/>
      <c r="K86" s="361"/>
      <c r="L86" s="361"/>
      <c r="M86" s="361"/>
      <c r="N86" s="361"/>
    </row>
    <row r="87" spans="2:14">
      <c r="C87" s="361"/>
      <c r="D87" s="361"/>
      <c r="E87" s="361"/>
      <c r="F87" s="361"/>
      <c r="G87" s="361"/>
      <c r="H87" s="361"/>
      <c r="I87" s="361"/>
      <c r="J87" s="361"/>
      <c r="K87" s="361"/>
      <c r="L87" s="361"/>
      <c r="M87" s="361"/>
      <c r="N87" s="361"/>
    </row>
  </sheetData>
  <printOptions horizontalCentered="1"/>
  <pageMargins left="0.7" right="0.7" top="0.75" bottom="0.75" header="0.3" footer="0.3"/>
  <pageSetup scale="36" orientation="landscape" r:id="rId1"/>
  <ignoredErrors>
    <ignoredError sqref="C9:H9" formulaRange="1"/>
  </ignoredError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3:B5"/>
  <sheetViews>
    <sheetView workbookViewId="0">
      <selection activeCell="C19" sqref="C19"/>
    </sheetView>
  </sheetViews>
  <sheetFormatPr baseColWidth="10" defaultRowHeight="15"/>
  <cols>
    <col min="2" max="2" width="65.7109375" customWidth="1"/>
  </cols>
  <sheetData>
    <row r="3" spans="2:2" ht="33.75">
      <c r="B3" s="1" t="s">
        <v>10</v>
      </c>
    </row>
    <row r="4" spans="2:2" ht="33.75">
      <c r="B4" s="1" t="s">
        <v>17</v>
      </c>
    </row>
    <row r="5" spans="2:2" ht="33.75">
      <c r="B5" s="1"/>
    </row>
  </sheetData>
  <printOptions horizontalCentered="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V88"/>
  <sheetViews>
    <sheetView topLeftCell="A7" workbookViewId="0">
      <selection activeCell="B41" sqref="B41:V41"/>
    </sheetView>
  </sheetViews>
  <sheetFormatPr baseColWidth="10" defaultRowHeight="15"/>
  <cols>
    <col min="1" max="1" width="1.85546875" customWidth="1"/>
    <col min="2" max="2" width="51" customWidth="1"/>
    <col min="3" max="15" width="10.5703125" hidden="1" customWidth="1"/>
    <col min="16" max="22" width="10.5703125" customWidth="1"/>
    <col min="23" max="23" width="2.7109375" customWidth="1"/>
  </cols>
  <sheetData>
    <row r="2" spans="2:22">
      <c r="B2" t="s">
        <v>18</v>
      </c>
    </row>
    <row r="3" spans="2:22">
      <c r="B3" t="s">
        <v>821</v>
      </c>
    </row>
    <row r="4" spans="2:22">
      <c r="B4" t="s">
        <v>19</v>
      </c>
    </row>
    <row r="5" spans="2:22" ht="8.1" customHeight="1"/>
    <row r="6" spans="2:22" ht="30" customHeight="1">
      <c r="B6" s="12" t="s">
        <v>58</v>
      </c>
      <c r="C6" s="12">
        <v>2000</v>
      </c>
      <c r="D6" s="32">
        <v>2001</v>
      </c>
      <c r="E6" s="32">
        <v>2002</v>
      </c>
      <c r="F6" s="32">
        <v>2003</v>
      </c>
      <c r="G6" s="32">
        <v>2004</v>
      </c>
      <c r="H6" s="32">
        <v>2005</v>
      </c>
      <c r="I6" s="32">
        <v>2006</v>
      </c>
      <c r="J6" s="32">
        <v>2007</v>
      </c>
      <c r="K6" s="32">
        <v>2008</v>
      </c>
      <c r="L6" s="32">
        <v>2009</v>
      </c>
      <c r="M6" s="32">
        <v>2010</v>
      </c>
      <c r="N6" s="32">
        <v>2011</v>
      </c>
      <c r="O6" s="32">
        <v>2012</v>
      </c>
      <c r="P6" s="32">
        <v>2013</v>
      </c>
      <c r="Q6" s="32">
        <v>2014</v>
      </c>
      <c r="R6" s="32">
        <v>2015</v>
      </c>
      <c r="S6" s="32">
        <v>2016</v>
      </c>
      <c r="T6" s="32">
        <v>2017</v>
      </c>
      <c r="U6" s="32">
        <v>2018</v>
      </c>
      <c r="V6" s="14">
        <v>2019</v>
      </c>
    </row>
    <row r="7" spans="2:22" ht="24.95" customHeight="1">
      <c r="B7" s="25" t="s">
        <v>71</v>
      </c>
      <c r="C7" s="33">
        <f>C8+C22</f>
        <v>1554.8314285714287</v>
      </c>
      <c r="D7" s="34">
        <f>+D8+D22</f>
        <v>1614.34</v>
      </c>
      <c r="E7" s="34">
        <f t="shared" ref="E7:P7" si="0">+E8+E22</f>
        <v>1804.4999999999998</v>
      </c>
      <c r="F7" s="34">
        <f t="shared" si="0"/>
        <v>1936.0867659999999</v>
      </c>
      <c r="G7" s="34">
        <f t="shared" si="0"/>
        <v>2130.9389999999999</v>
      </c>
      <c r="H7" s="34">
        <f t="shared" si="0"/>
        <v>2344.7013582600002</v>
      </c>
      <c r="I7" s="34">
        <f t="shared" si="0"/>
        <v>2721.2129999999997</v>
      </c>
      <c r="J7" s="34">
        <f t="shared" si="0"/>
        <v>3025.8170000000005</v>
      </c>
      <c r="K7" s="34">
        <f t="shared" si="0"/>
        <v>3246.0690000000009</v>
      </c>
      <c r="L7" s="34">
        <f t="shared" si="0"/>
        <v>2968.7529999999997</v>
      </c>
      <c r="M7" s="34">
        <f t="shared" si="0"/>
        <v>3251.1924289199997</v>
      </c>
      <c r="N7" s="34">
        <f t="shared" si="0"/>
        <v>3623.1170000000002</v>
      </c>
      <c r="O7" s="34">
        <f t="shared" si="0"/>
        <v>3827.4335960000003</v>
      </c>
      <c r="P7" s="34">
        <f t="shared" si="0"/>
        <v>4088.6742254799997</v>
      </c>
      <c r="Q7" s="34">
        <f t="shared" ref="Q7:V7" si="1">+Q8+Q22</f>
        <v>4137.7027885400003</v>
      </c>
      <c r="R7" s="34">
        <f t="shared" si="1"/>
        <v>4276.6632289899999</v>
      </c>
      <c r="S7" s="34">
        <f t="shared" si="1"/>
        <v>4411.6345156400002</v>
      </c>
      <c r="T7" s="685">
        <f t="shared" si="1"/>
        <v>4818.0169466440002</v>
      </c>
      <c r="U7" s="34">
        <f t="shared" si="1"/>
        <v>5042.7366819390008</v>
      </c>
      <c r="V7" s="22">
        <f t="shared" si="1"/>
        <v>2826.4266241800001</v>
      </c>
    </row>
    <row r="8" spans="2:22" ht="24.95" customHeight="1">
      <c r="B8" s="15" t="s">
        <v>72</v>
      </c>
      <c r="C8" s="33">
        <f>SUM(C9:C14)</f>
        <v>1451.2314285714288</v>
      </c>
      <c r="D8" s="34">
        <f t="shared" ref="D8:U8" si="2">SUM(D9:D14)</f>
        <v>1530.24</v>
      </c>
      <c r="E8" s="34">
        <f t="shared" si="2"/>
        <v>1684.9999999999998</v>
      </c>
      <c r="F8" s="34">
        <f t="shared" si="2"/>
        <v>1812.2867659999999</v>
      </c>
      <c r="G8" s="34">
        <f t="shared" si="2"/>
        <v>1925.3389999999999</v>
      </c>
      <c r="H8" s="34">
        <f t="shared" si="2"/>
        <v>2229.4013582600001</v>
      </c>
      <c r="I8" s="34">
        <f t="shared" si="2"/>
        <v>2573.6129999999998</v>
      </c>
      <c r="J8" s="34">
        <f t="shared" si="2"/>
        <v>2876.7570000000005</v>
      </c>
      <c r="K8" s="34">
        <f t="shared" si="2"/>
        <v>3089.5190000000007</v>
      </c>
      <c r="L8" s="34">
        <f t="shared" si="2"/>
        <v>2835.9929999999999</v>
      </c>
      <c r="M8" s="34">
        <f t="shared" si="2"/>
        <v>3071.8029999999999</v>
      </c>
      <c r="N8" s="34">
        <f t="shared" si="2"/>
        <v>3486.6030000000001</v>
      </c>
      <c r="O8" s="34">
        <f t="shared" si="2"/>
        <v>3685.3693020800001</v>
      </c>
      <c r="P8" s="34">
        <f t="shared" si="2"/>
        <v>3944.0956929099998</v>
      </c>
      <c r="Q8" s="34">
        <f t="shared" si="2"/>
        <v>3989.0162327700004</v>
      </c>
      <c r="R8" s="34">
        <f t="shared" si="2"/>
        <v>4118.0533892699996</v>
      </c>
      <c r="S8" s="34">
        <f t="shared" ref="S8:T8" si="3">SUM(S9:S14)</f>
        <v>4237.99358295</v>
      </c>
      <c r="T8" s="34">
        <f t="shared" si="3"/>
        <v>4488.1793214429999</v>
      </c>
      <c r="U8" s="34">
        <f t="shared" si="2"/>
        <v>4769.301949779001</v>
      </c>
      <c r="V8" s="22">
        <f t="shared" ref="V8" si="4">SUM(V9:V14)</f>
        <v>2695.3323726799999</v>
      </c>
    </row>
    <row r="9" spans="2:22" ht="18" customHeight="1">
      <c r="B9" s="35" t="s">
        <v>73</v>
      </c>
      <c r="C9" s="49">
        <v>799.2</v>
      </c>
      <c r="D9" s="50">
        <v>866.3</v>
      </c>
      <c r="E9" s="50">
        <v>903.9</v>
      </c>
      <c r="F9" s="50">
        <v>960.3</v>
      </c>
      <c r="G9" s="50">
        <v>1026.2</v>
      </c>
      <c r="H9" s="50">
        <v>1169.91687596</v>
      </c>
      <c r="I9" s="50">
        <v>1362.5</v>
      </c>
      <c r="J9" s="50">
        <v>1506.8</v>
      </c>
      <c r="K9" s="50">
        <v>1615.21</v>
      </c>
      <c r="L9" s="50">
        <v>1423.2</v>
      </c>
      <c r="M9" s="50">
        <v>1566.3409999999999</v>
      </c>
      <c r="N9" s="50">
        <v>1801.4960000000001</v>
      </c>
      <c r="O9" s="50">
        <v>1860.8935053199998</v>
      </c>
      <c r="P9" s="50">
        <v>1901.6537691999999</v>
      </c>
      <c r="Q9" s="50">
        <v>1909.9882757399998</v>
      </c>
      <c r="R9" s="37">
        <v>1934.3254194299998</v>
      </c>
      <c r="S9" s="37">
        <v>1853.8765296699999</v>
      </c>
      <c r="T9" s="50">
        <v>1946.9405661500002</v>
      </c>
      <c r="U9" s="50">
        <v>2103.383634329</v>
      </c>
      <c r="V9" s="51">
        <v>1103.33149284</v>
      </c>
    </row>
    <row r="10" spans="2:22" ht="18" customHeight="1">
      <c r="B10" s="35" t="s">
        <v>24</v>
      </c>
      <c r="C10" s="49">
        <v>451.18</v>
      </c>
      <c r="D10" s="50">
        <v>455.44</v>
      </c>
      <c r="E10" s="50">
        <v>480.2</v>
      </c>
      <c r="F10" s="50">
        <v>530.1</v>
      </c>
      <c r="G10" s="50">
        <v>564.70000000000005</v>
      </c>
      <c r="H10" s="50">
        <v>699.63797131000001</v>
      </c>
      <c r="I10" s="50">
        <v>818.7</v>
      </c>
      <c r="J10" s="50">
        <v>968.2</v>
      </c>
      <c r="K10" s="50">
        <v>1053.4000000000001</v>
      </c>
      <c r="L10" s="50">
        <v>1003.8</v>
      </c>
      <c r="M10" s="50">
        <v>1051.404</v>
      </c>
      <c r="N10" s="50">
        <v>1192.807</v>
      </c>
      <c r="O10" s="50">
        <v>1317.3725934100003</v>
      </c>
      <c r="P10" s="50">
        <v>1506.3673522700001</v>
      </c>
      <c r="Q10" s="50">
        <v>1549.3570559300001</v>
      </c>
      <c r="R10" s="37">
        <v>1574.8668683199999</v>
      </c>
      <c r="S10" s="37">
        <v>1689.7566837500001</v>
      </c>
      <c r="T10" s="50">
        <v>1773.16475186</v>
      </c>
      <c r="U10" s="50">
        <v>1859.7792688</v>
      </c>
      <c r="V10" s="51">
        <v>1179.3936916399998</v>
      </c>
    </row>
    <row r="11" spans="2:22" ht="18" customHeight="1">
      <c r="B11" s="35" t="s">
        <v>27</v>
      </c>
      <c r="C11" s="49">
        <v>140.47999999999999</v>
      </c>
      <c r="D11" s="50">
        <v>146</v>
      </c>
      <c r="E11" s="50">
        <v>154.80000000000001</v>
      </c>
      <c r="F11" s="50">
        <v>177.6</v>
      </c>
      <c r="G11" s="50">
        <v>177.1</v>
      </c>
      <c r="H11" s="50">
        <v>180.85312601999996</v>
      </c>
      <c r="I11" s="50">
        <v>199.7</v>
      </c>
      <c r="J11" s="50">
        <v>203.84</v>
      </c>
      <c r="K11" s="50">
        <v>178.8</v>
      </c>
      <c r="L11" s="50">
        <v>138</v>
      </c>
      <c r="M11" s="50">
        <v>150.53899999999999</v>
      </c>
      <c r="N11" s="50">
        <v>167.346</v>
      </c>
      <c r="O11" s="50">
        <v>179.59236576000004</v>
      </c>
      <c r="P11" s="50">
        <v>199.20825922000003</v>
      </c>
      <c r="Q11" s="50">
        <v>181.28257818999998</v>
      </c>
      <c r="R11" s="37">
        <v>194.17582204999999</v>
      </c>
      <c r="S11" s="37">
        <v>206.47533188</v>
      </c>
      <c r="T11" s="50">
        <v>210.81341880999997</v>
      </c>
      <c r="U11" s="50">
        <v>227.42140884</v>
      </c>
      <c r="V11" s="51">
        <v>107.66271146</v>
      </c>
    </row>
    <row r="12" spans="2:22" ht="18" customHeight="1">
      <c r="B12" s="35" t="s">
        <v>74</v>
      </c>
      <c r="C12" s="49">
        <v>48.731428571428566</v>
      </c>
      <c r="D12" s="50">
        <v>49.2</v>
      </c>
      <c r="E12" s="50">
        <v>66.5</v>
      </c>
      <c r="F12" s="50">
        <v>61.7</v>
      </c>
      <c r="G12" s="50">
        <v>74.2</v>
      </c>
      <c r="H12" s="50">
        <v>95.354366549999995</v>
      </c>
      <c r="I12" s="50">
        <v>97.4</v>
      </c>
      <c r="J12" s="50">
        <v>97.78</v>
      </c>
      <c r="K12" s="50">
        <v>95.78</v>
      </c>
      <c r="L12" s="50">
        <v>99.7</v>
      </c>
      <c r="M12" s="50">
        <v>119.688</v>
      </c>
      <c r="N12" s="50">
        <v>140.40199999999999</v>
      </c>
      <c r="O12" s="50">
        <v>146.08819869000001</v>
      </c>
      <c r="P12" s="50">
        <v>145.06987382999998</v>
      </c>
      <c r="Q12" s="50">
        <v>149.38752946</v>
      </c>
      <c r="R12" s="37">
        <v>162.32992146999999</v>
      </c>
      <c r="S12" s="37">
        <v>170.15184858000001</v>
      </c>
      <c r="T12" s="50">
        <v>173.22567344300001</v>
      </c>
      <c r="U12" s="50">
        <v>177.97271461</v>
      </c>
      <c r="V12" s="51">
        <v>93.712293770000002</v>
      </c>
    </row>
    <row r="13" spans="2:22" ht="18" customHeight="1">
      <c r="B13" s="35" t="s">
        <v>75</v>
      </c>
      <c r="C13" s="49">
        <v>11.64</v>
      </c>
      <c r="D13" s="50">
        <v>11.7</v>
      </c>
      <c r="E13" s="50">
        <v>14.8</v>
      </c>
      <c r="F13" s="50">
        <f>15.4-0.6</f>
        <v>14.8</v>
      </c>
      <c r="G13" s="50">
        <v>15.539000000000001</v>
      </c>
      <c r="H13" s="50">
        <v>16.673109620000002</v>
      </c>
      <c r="I13" s="50">
        <v>19.413</v>
      </c>
      <c r="J13" s="50">
        <v>21.837</v>
      </c>
      <c r="K13" s="50">
        <v>37.658999999999999</v>
      </c>
      <c r="L13" s="50">
        <v>60.692999999999998</v>
      </c>
      <c r="M13" s="50">
        <v>72.402000000000001</v>
      </c>
      <c r="N13" s="50">
        <v>72.334999999999994</v>
      </c>
      <c r="O13" s="50">
        <v>65.317464380000004</v>
      </c>
      <c r="P13" s="50">
        <v>65.855750319999999</v>
      </c>
      <c r="Q13" s="50">
        <v>78.540600350000005</v>
      </c>
      <c r="R13" s="37">
        <v>119.92514768999999</v>
      </c>
      <c r="S13" s="37">
        <v>122.29939066000001</v>
      </c>
      <c r="T13" s="50">
        <v>122.82912459000001</v>
      </c>
      <c r="U13" s="50">
        <v>130.43226904000002</v>
      </c>
      <c r="V13" s="51">
        <v>30.982705989999996</v>
      </c>
    </row>
    <row r="14" spans="2:22" ht="18" customHeight="1">
      <c r="B14" s="35" t="s">
        <v>76</v>
      </c>
      <c r="C14" s="49">
        <f>SUM(C15:C20)</f>
        <v>0</v>
      </c>
      <c r="D14" s="50">
        <f>SUM(D15:D20)</f>
        <v>1.6</v>
      </c>
      <c r="E14" s="50">
        <f t="shared" ref="E14:M14" si="5">SUM(E15:E20)</f>
        <v>64.8</v>
      </c>
      <c r="F14" s="50">
        <f t="shared" si="5"/>
        <v>67.786766</v>
      </c>
      <c r="G14" s="50">
        <f t="shared" si="5"/>
        <v>67.599999999999994</v>
      </c>
      <c r="H14" s="50">
        <f t="shared" si="5"/>
        <v>66.965908799999994</v>
      </c>
      <c r="I14" s="50">
        <f t="shared" si="5"/>
        <v>75.900000000000006</v>
      </c>
      <c r="J14" s="50">
        <f t="shared" si="5"/>
        <v>78.3</v>
      </c>
      <c r="K14" s="50">
        <f t="shared" si="5"/>
        <v>108.67</v>
      </c>
      <c r="L14" s="50">
        <f t="shared" si="5"/>
        <v>110.6</v>
      </c>
      <c r="M14" s="50">
        <f t="shared" si="5"/>
        <v>111.429</v>
      </c>
      <c r="N14" s="50">
        <f>SUM(N15:N21)</f>
        <v>112.21699999999998</v>
      </c>
      <c r="O14" s="37">
        <f t="shared" ref="O14:Q14" si="6">SUM(O15:O21)</f>
        <v>116.10517452000002</v>
      </c>
      <c r="P14" s="37">
        <f t="shared" si="6"/>
        <v>125.94068807000002</v>
      </c>
      <c r="Q14" s="37">
        <f t="shared" si="6"/>
        <v>120.4601931</v>
      </c>
      <c r="R14" s="37">
        <f>SUM(R15:R21)</f>
        <v>132.43021031000001</v>
      </c>
      <c r="S14" s="37">
        <f>SUM(S15:S21)</f>
        <v>195.43379841000001</v>
      </c>
      <c r="T14" s="50">
        <f>SUM(T15:T21)</f>
        <v>261.20578659</v>
      </c>
      <c r="U14" s="50">
        <f>SUM(U15:U21)</f>
        <v>270.31265416000008</v>
      </c>
      <c r="V14" s="51">
        <f>SUM(V15:V21)</f>
        <v>180.24947698</v>
      </c>
    </row>
    <row r="15" spans="2:22" ht="18" customHeight="1">
      <c r="B15" s="17" t="s">
        <v>77</v>
      </c>
      <c r="C15" s="49"/>
      <c r="D15" s="50">
        <v>1.6</v>
      </c>
      <c r="E15" s="50">
        <v>64.8</v>
      </c>
      <c r="F15" s="50">
        <v>67.186766000000006</v>
      </c>
      <c r="G15" s="50">
        <v>67.099999999999994</v>
      </c>
      <c r="H15" s="50">
        <v>66.3659088</v>
      </c>
      <c r="I15" s="50">
        <v>69</v>
      </c>
      <c r="J15" s="50">
        <v>70.3</v>
      </c>
      <c r="K15" s="50">
        <v>65.31</v>
      </c>
      <c r="L15" s="50">
        <v>68.099999999999994</v>
      </c>
      <c r="M15" s="50">
        <v>68.995999999999995</v>
      </c>
      <c r="N15" s="50">
        <v>68.941999999999993</v>
      </c>
      <c r="O15" s="50">
        <v>71.18200769000002</v>
      </c>
      <c r="P15" s="50">
        <v>72.094580280000017</v>
      </c>
      <c r="Q15" s="50">
        <v>73.555533150000002</v>
      </c>
      <c r="R15" s="37">
        <v>79.623908670000006</v>
      </c>
      <c r="S15" s="37">
        <v>85.555840700000005</v>
      </c>
      <c r="T15" s="50">
        <v>88.999086989999995</v>
      </c>
      <c r="U15" s="50">
        <v>92.826734350000024</v>
      </c>
      <c r="V15" s="51">
        <v>48.22767657</v>
      </c>
    </row>
    <row r="16" spans="2:22" ht="18" customHeight="1">
      <c r="B16" s="17" t="s">
        <v>78</v>
      </c>
      <c r="C16" s="49"/>
      <c r="D16" s="50"/>
      <c r="E16" s="50"/>
      <c r="F16" s="50">
        <v>0.6</v>
      </c>
      <c r="G16" s="50">
        <v>0.5</v>
      </c>
      <c r="H16" s="50">
        <v>0.6</v>
      </c>
      <c r="I16" s="50">
        <v>0.7</v>
      </c>
      <c r="J16" s="50">
        <v>0.7</v>
      </c>
      <c r="K16" s="50">
        <v>0.8</v>
      </c>
      <c r="L16" s="50">
        <v>0.7</v>
      </c>
      <c r="M16" s="50">
        <v>0.46400000000000002</v>
      </c>
      <c r="N16" s="50">
        <v>0.54900000000000004</v>
      </c>
      <c r="O16" s="50">
        <v>0.86736444999999995</v>
      </c>
      <c r="P16" s="50">
        <v>0.56641249000000005</v>
      </c>
      <c r="Q16" s="50">
        <v>0.94359054000000009</v>
      </c>
      <c r="R16" s="37">
        <v>0.8596368900000001</v>
      </c>
      <c r="S16" s="37">
        <v>0.77273687999999996</v>
      </c>
      <c r="T16" s="50">
        <v>0.96914444999999994</v>
      </c>
      <c r="U16" s="50">
        <v>1.1633350500000001</v>
      </c>
      <c r="V16" s="51">
        <v>0.46213768999999999</v>
      </c>
    </row>
    <row r="17" spans="1:22" ht="18" customHeight="1">
      <c r="B17" s="17" t="s">
        <v>79</v>
      </c>
      <c r="C17" s="49"/>
      <c r="D17" s="50"/>
      <c r="E17" s="50"/>
      <c r="F17" s="50"/>
      <c r="G17" s="50">
        <v>0</v>
      </c>
      <c r="H17" s="50">
        <v>0</v>
      </c>
      <c r="I17" s="50">
        <v>6.2</v>
      </c>
      <c r="J17" s="50">
        <v>7.3</v>
      </c>
      <c r="K17" s="50">
        <v>9.9</v>
      </c>
      <c r="L17" s="50">
        <v>7.7</v>
      </c>
      <c r="M17" s="50">
        <v>7.3959999999999999</v>
      </c>
      <c r="N17" s="50">
        <v>8.18</v>
      </c>
      <c r="O17" s="50">
        <v>8.3923485299999996</v>
      </c>
      <c r="P17" s="50">
        <v>8.9806953700000012</v>
      </c>
      <c r="Q17" s="50">
        <v>9.04546779</v>
      </c>
      <c r="R17" s="37">
        <v>10.094261960000001</v>
      </c>
      <c r="S17" s="37">
        <v>10.508627000000001</v>
      </c>
      <c r="T17" s="50">
        <v>11.130397520000001</v>
      </c>
      <c r="U17" s="50">
        <v>11.750406460000001</v>
      </c>
      <c r="V17" s="51">
        <v>6.2175240800000005</v>
      </c>
    </row>
    <row r="18" spans="1:22" ht="18" customHeight="1">
      <c r="B18" s="17" t="s">
        <v>80</v>
      </c>
      <c r="C18" s="49"/>
      <c r="D18" s="50"/>
      <c r="E18" s="50"/>
      <c r="F18" s="50"/>
      <c r="G18" s="50"/>
      <c r="H18" s="50"/>
      <c r="I18" s="50"/>
      <c r="J18" s="50"/>
      <c r="K18" s="50">
        <v>32.659999999999997</v>
      </c>
      <c r="L18" s="50">
        <v>34.1</v>
      </c>
      <c r="M18" s="50">
        <v>34.573</v>
      </c>
      <c r="N18" s="50">
        <v>34.545999999999999</v>
      </c>
      <c r="O18" s="50">
        <v>35.663453850000003</v>
      </c>
      <c r="P18" s="50">
        <v>36.192914930000001</v>
      </c>
      <c r="Q18" s="50">
        <v>36.915601619999997</v>
      </c>
      <c r="R18" s="37">
        <v>39.900713130000007</v>
      </c>
      <c r="S18" s="37">
        <v>43.011405360000005</v>
      </c>
      <c r="T18" s="50">
        <v>44.72759353</v>
      </c>
      <c r="U18" s="50">
        <v>46.629791159999996</v>
      </c>
      <c r="V18" s="51">
        <v>24.259508289999999</v>
      </c>
    </row>
    <row r="19" spans="1:22" ht="18" customHeight="1">
      <c r="B19" s="17" t="s">
        <v>48</v>
      </c>
      <c r="C19" s="49"/>
      <c r="D19" s="50"/>
      <c r="E19" s="50"/>
      <c r="F19" s="50"/>
      <c r="G19" s="50"/>
      <c r="H19" s="50"/>
      <c r="I19" s="50"/>
      <c r="J19" s="50"/>
      <c r="K19" s="50"/>
      <c r="L19" s="50"/>
      <c r="M19" s="50"/>
      <c r="N19" s="50"/>
      <c r="O19" s="50"/>
      <c r="P19" s="50">
        <v>8.1060850000000002</v>
      </c>
      <c r="Q19" s="50"/>
      <c r="R19" s="37"/>
      <c r="S19" s="37"/>
      <c r="T19" s="50"/>
      <c r="U19" s="50"/>
      <c r="V19" s="51"/>
    </row>
    <row r="20" spans="1:22" ht="18" customHeight="1">
      <c r="B20" s="17" t="s">
        <v>624</v>
      </c>
      <c r="C20" s="49"/>
      <c r="D20" s="50"/>
      <c r="E20" s="50"/>
      <c r="F20" s="50"/>
      <c r="G20" s="50"/>
      <c r="H20" s="50"/>
      <c r="I20" s="50"/>
      <c r="J20" s="50"/>
      <c r="K20" s="50"/>
      <c r="L20" s="50"/>
      <c r="M20" s="50"/>
      <c r="N20" s="50"/>
      <c r="O20" s="50"/>
      <c r="P20" s="50"/>
      <c r="Q20" s="50"/>
      <c r="R20" s="37">
        <v>1.95168966</v>
      </c>
      <c r="S20" s="37">
        <v>48.538968960000005</v>
      </c>
      <c r="T20" s="50">
        <v>48.791176890000003</v>
      </c>
      <c r="U20" s="50">
        <v>48.362502499999998</v>
      </c>
      <c r="V20" s="51">
        <v>27.650172280000003</v>
      </c>
    </row>
    <row r="21" spans="1:22" ht="18" customHeight="1">
      <c r="B21" s="17" t="s">
        <v>625</v>
      </c>
      <c r="C21" s="49"/>
      <c r="D21" s="50"/>
      <c r="E21" s="50"/>
      <c r="F21" s="50"/>
      <c r="G21" s="50"/>
      <c r="H21" s="50"/>
      <c r="I21" s="50"/>
      <c r="J21" s="50"/>
      <c r="K21" s="50"/>
      <c r="L21" s="50"/>
      <c r="M21" s="50"/>
      <c r="N21" s="50"/>
      <c r="O21" s="50"/>
      <c r="P21" s="50"/>
      <c r="Q21" s="50"/>
      <c r="R21" s="37"/>
      <c r="S21" s="37">
        <v>7.0462195099999994</v>
      </c>
      <c r="T21" s="50">
        <v>66.588387209999979</v>
      </c>
      <c r="U21" s="50">
        <v>69.579884640000017</v>
      </c>
      <c r="V21" s="51">
        <v>73.432458069999996</v>
      </c>
    </row>
    <row r="22" spans="1:22" ht="24.95" customHeight="1">
      <c r="B22" s="15" t="s">
        <v>81</v>
      </c>
      <c r="C22" s="33">
        <f>SUM(C23:C28)</f>
        <v>103.6</v>
      </c>
      <c r="D22" s="34">
        <f t="shared" ref="D22:U22" si="7">SUM(D23:D28)</f>
        <v>84.1</v>
      </c>
      <c r="E22" s="34">
        <f t="shared" si="7"/>
        <v>119.5</v>
      </c>
      <c r="F22" s="34">
        <f t="shared" si="7"/>
        <v>123.80000000000001</v>
      </c>
      <c r="G22" s="34">
        <f t="shared" si="7"/>
        <v>205.59999999999997</v>
      </c>
      <c r="H22" s="34">
        <f t="shared" si="7"/>
        <v>115.3</v>
      </c>
      <c r="I22" s="34">
        <f t="shared" si="7"/>
        <v>147.6</v>
      </c>
      <c r="J22" s="34">
        <f t="shared" si="7"/>
        <v>149.06</v>
      </c>
      <c r="K22" s="34">
        <f t="shared" si="7"/>
        <v>156.55000000000001</v>
      </c>
      <c r="L22" s="34">
        <f t="shared" si="7"/>
        <v>132.76</v>
      </c>
      <c r="M22" s="34">
        <f t="shared" si="7"/>
        <v>179.38942892</v>
      </c>
      <c r="N22" s="34">
        <f t="shared" si="7"/>
        <v>136.51400000000001</v>
      </c>
      <c r="O22" s="34">
        <f t="shared" si="7"/>
        <v>142.06429392000001</v>
      </c>
      <c r="P22" s="34">
        <f t="shared" si="7"/>
        <v>144.57853256999999</v>
      </c>
      <c r="Q22" s="34">
        <f t="shared" si="7"/>
        <v>148.68655576999998</v>
      </c>
      <c r="R22" s="34">
        <f t="shared" si="7"/>
        <v>158.60983972</v>
      </c>
      <c r="S22" s="34">
        <f t="shared" ref="S22:T22" si="8">SUM(S23:S28)</f>
        <v>173.64093269000003</v>
      </c>
      <c r="T22" s="34">
        <f t="shared" si="8"/>
        <v>329.83762520100004</v>
      </c>
      <c r="U22" s="682">
        <f t="shared" si="7"/>
        <v>273.43473215999995</v>
      </c>
      <c r="V22" s="603">
        <f t="shared" ref="V22" si="9">SUM(V23:V28)</f>
        <v>131.09425149999998</v>
      </c>
    </row>
    <row r="23" spans="1:22" ht="18" customHeight="1">
      <c r="B23" s="35" t="s">
        <v>82</v>
      </c>
      <c r="C23" s="49">
        <v>12.4</v>
      </c>
      <c r="D23" s="50">
        <v>11.5</v>
      </c>
      <c r="E23" s="50">
        <v>27.9</v>
      </c>
      <c r="F23" s="50">
        <v>19.8</v>
      </c>
      <c r="G23" s="50">
        <v>98.1</v>
      </c>
      <c r="H23" s="50">
        <v>9.9</v>
      </c>
      <c r="I23" s="50">
        <v>30.7</v>
      </c>
      <c r="J23" s="50">
        <v>11.56</v>
      </c>
      <c r="K23" s="50">
        <v>11.26</v>
      </c>
      <c r="L23" s="50">
        <v>3.3</v>
      </c>
      <c r="M23" s="50">
        <v>4.1107635</v>
      </c>
      <c r="N23" s="50">
        <v>3.4159999999999999</v>
      </c>
      <c r="O23" s="50">
        <v>2.3093607499999997</v>
      </c>
      <c r="P23" s="50">
        <v>2.7343959300000003</v>
      </c>
      <c r="Q23" s="50">
        <v>2.8217479899999995</v>
      </c>
      <c r="R23" s="37">
        <v>2.4611260500000003</v>
      </c>
      <c r="S23" s="37">
        <v>1.6437936200000001</v>
      </c>
      <c r="T23" s="50">
        <v>1.9367931900000002</v>
      </c>
      <c r="U23" s="50">
        <v>4.6415845099999995</v>
      </c>
      <c r="V23" s="51">
        <v>2.0509349100000001</v>
      </c>
    </row>
    <row r="24" spans="1:22" ht="18" customHeight="1">
      <c r="B24" s="35" t="s">
        <v>83</v>
      </c>
      <c r="C24" s="49">
        <v>3.1</v>
      </c>
      <c r="D24" s="50">
        <v>1.2</v>
      </c>
      <c r="E24" s="50">
        <v>1.2</v>
      </c>
      <c r="F24" s="50">
        <v>5.5</v>
      </c>
      <c r="G24" s="50">
        <v>6.2</v>
      </c>
      <c r="H24" s="50">
        <v>10.3</v>
      </c>
      <c r="I24" s="50">
        <v>10.199999999999999</v>
      </c>
      <c r="J24" s="50">
        <v>12.04</v>
      </c>
      <c r="K24" s="50">
        <v>5.29</v>
      </c>
      <c r="L24" s="50">
        <v>25.3</v>
      </c>
      <c r="M24" s="50">
        <v>24.705483000000001</v>
      </c>
      <c r="N24" s="50">
        <v>3.286</v>
      </c>
      <c r="O24" s="50">
        <v>7.7455827500000005</v>
      </c>
      <c r="P24" s="50">
        <v>9.7780047299999993</v>
      </c>
      <c r="Q24" s="50">
        <v>3.2798350100000007</v>
      </c>
      <c r="R24" s="37">
        <v>0.55857653000000007</v>
      </c>
      <c r="S24" s="37">
        <v>2.4159330100000003</v>
      </c>
      <c r="T24" s="50">
        <v>27.856316</v>
      </c>
      <c r="U24" s="50">
        <v>17.906020869999999</v>
      </c>
      <c r="V24" s="51">
        <v>16.983762299999999</v>
      </c>
    </row>
    <row r="25" spans="1:22" ht="18" customHeight="1">
      <c r="B25" s="35" t="s">
        <v>84</v>
      </c>
      <c r="C25" s="49">
        <v>1.3</v>
      </c>
      <c r="D25" s="50">
        <v>0.2</v>
      </c>
      <c r="E25" s="50">
        <v>1.6</v>
      </c>
      <c r="F25" s="50">
        <v>2.6</v>
      </c>
      <c r="G25" s="50">
        <v>4</v>
      </c>
      <c r="H25" s="50">
        <v>5</v>
      </c>
      <c r="I25" s="50">
        <v>5.9</v>
      </c>
      <c r="J25" s="50">
        <v>8.48</v>
      </c>
      <c r="K25" s="50">
        <v>11</v>
      </c>
      <c r="L25" s="50">
        <v>8</v>
      </c>
      <c r="M25" s="50">
        <v>33.509218140000002</v>
      </c>
      <c r="N25" s="50">
        <v>11.042999999999999</v>
      </c>
      <c r="O25" s="50">
        <v>7.212473039999999</v>
      </c>
      <c r="P25" s="50">
        <v>10.171508529999999</v>
      </c>
      <c r="Q25" s="50">
        <v>11.547554519999998</v>
      </c>
      <c r="R25" s="37">
        <v>11.5707582</v>
      </c>
      <c r="S25" s="37">
        <v>10.20045451</v>
      </c>
      <c r="T25" s="50">
        <v>8.53183823</v>
      </c>
      <c r="U25" s="50">
        <v>21.564290289999999</v>
      </c>
      <c r="V25" s="51">
        <v>7.7007616700000012</v>
      </c>
    </row>
    <row r="26" spans="1:22" ht="18" customHeight="1">
      <c r="B26" s="35" t="s">
        <v>85</v>
      </c>
      <c r="C26" s="49">
        <v>23.8</v>
      </c>
      <c r="D26" s="50">
        <v>27.4</v>
      </c>
      <c r="E26" s="50">
        <v>34.1</v>
      </c>
      <c r="F26" s="50">
        <v>27.3</v>
      </c>
      <c r="G26" s="50">
        <v>26.4</v>
      </c>
      <c r="H26" s="50">
        <v>28.6</v>
      </c>
      <c r="I26" s="50">
        <v>30.6</v>
      </c>
      <c r="J26" s="50">
        <v>31.03</v>
      </c>
      <c r="K26" s="50">
        <v>29.64</v>
      </c>
      <c r="L26" s="50">
        <v>28.6</v>
      </c>
      <c r="M26" s="50">
        <v>30.65814078</v>
      </c>
      <c r="N26" s="50">
        <v>43.067</v>
      </c>
      <c r="O26" s="50">
        <v>44.943373299999998</v>
      </c>
      <c r="P26" s="50">
        <v>35.590338509999995</v>
      </c>
      <c r="Q26" s="50">
        <v>45.325935990000005</v>
      </c>
      <c r="R26" s="37">
        <v>50.778236199999995</v>
      </c>
      <c r="S26" s="37">
        <v>53.205304810000008</v>
      </c>
      <c r="T26" s="50">
        <v>45.151906089999997</v>
      </c>
      <c r="U26" s="50">
        <v>53.166249709999995</v>
      </c>
      <c r="V26" s="51">
        <v>24.788659819999999</v>
      </c>
    </row>
    <row r="27" spans="1:22" ht="18" customHeight="1">
      <c r="B27" s="35" t="s">
        <v>86</v>
      </c>
      <c r="C27" s="49">
        <v>11</v>
      </c>
      <c r="D27" s="50">
        <v>6.3</v>
      </c>
      <c r="E27" s="50">
        <v>8.8000000000000007</v>
      </c>
      <c r="F27" s="50">
        <v>11.5</v>
      </c>
      <c r="G27" s="50">
        <v>9.6999999999999993</v>
      </c>
      <c r="H27" s="50">
        <v>8.6999999999999993</v>
      </c>
      <c r="I27" s="50">
        <v>13.8</v>
      </c>
      <c r="J27" s="50">
        <v>20.78</v>
      </c>
      <c r="K27" s="50">
        <v>22.35</v>
      </c>
      <c r="L27" s="50">
        <v>18.22</v>
      </c>
      <c r="M27" s="50">
        <v>26.373122680000002</v>
      </c>
      <c r="N27" s="50">
        <v>30.248000000000001</v>
      </c>
      <c r="O27" s="50">
        <v>32.779410710000001</v>
      </c>
      <c r="P27" s="50">
        <v>29.323311100000002</v>
      </c>
      <c r="Q27" s="50">
        <v>29.839520789999998</v>
      </c>
      <c r="R27" s="37">
        <v>33.04039916</v>
      </c>
      <c r="S27" s="37">
        <v>30.455411440000002</v>
      </c>
      <c r="T27" s="50">
        <v>36.946506560000003</v>
      </c>
      <c r="U27" s="50">
        <v>26.964594609999999</v>
      </c>
      <c r="V27" s="51">
        <v>12.831671679999999</v>
      </c>
    </row>
    <row r="28" spans="1:22" ht="18" customHeight="1">
      <c r="B28" s="35" t="s">
        <v>87</v>
      </c>
      <c r="C28" s="49">
        <v>52</v>
      </c>
      <c r="D28" s="50">
        <v>37.5</v>
      </c>
      <c r="E28" s="50">
        <v>45.9</v>
      </c>
      <c r="F28" s="50">
        <v>57.1</v>
      </c>
      <c r="G28" s="50">
        <v>61.2</v>
      </c>
      <c r="H28" s="50">
        <v>52.8</v>
      </c>
      <c r="I28" s="50">
        <v>56.4</v>
      </c>
      <c r="J28" s="50">
        <v>65.17</v>
      </c>
      <c r="K28" s="50">
        <v>77.010000000000005</v>
      </c>
      <c r="L28" s="50">
        <v>49.34</v>
      </c>
      <c r="M28" s="50">
        <v>60.032700820000017</v>
      </c>
      <c r="N28" s="50">
        <v>45.454000000000001</v>
      </c>
      <c r="O28" s="50">
        <v>47.07409337</v>
      </c>
      <c r="P28" s="50">
        <v>56.980973770000006</v>
      </c>
      <c r="Q28" s="50">
        <v>55.871961469999988</v>
      </c>
      <c r="R28" s="37">
        <v>60.200743579999994</v>
      </c>
      <c r="S28" s="37">
        <v>75.720035300000006</v>
      </c>
      <c r="T28" s="50">
        <v>209.41426513100001</v>
      </c>
      <c r="U28" s="50">
        <v>149.19199216999999</v>
      </c>
      <c r="V28" s="51">
        <v>66.738461119999997</v>
      </c>
    </row>
    <row r="29" spans="1:22" ht="24.95" customHeight="1">
      <c r="B29" s="25" t="s">
        <v>88</v>
      </c>
      <c r="C29" s="33">
        <f>SUM(C30:C33)</f>
        <v>78.3</v>
      </c>
      <c r="D29" s="34">
        <f>SUM(D30:D33)</f>
        <v>32.6</v>
      </c>
      <c r="E29" s="34">
        <f t="shared" ref="E29:U29" si="10">SUM(E30:E33)</f>
        <v>20.9</v>
      </c>
      <c r="F29" s="34">
        <f t="shared" si="10"/>
        <v>88.5</v>
      </c>
      <c r="G29" s="34">
        <f t="shared" si="10"/>
        <v>37.9</v>
      </c>
      <c r="H29" s="34">
        <f t="shared" si="10"/>
        <v>6.7750440699999999</v>
      </c>
      <c r="I29" s="34">
        <f t="shared" si="10"/>
        <v>9.1</v>
      </c>
      <c r="J29" s="34">
        <f t="shared" si="10"/>
        <v>21.971</v>
      </c>
      <c r="K29" s="34">
        <f t="shared" si="10"/>
        <v>29.2</v>
      </c>
      <c r="L29" s="34">
        <f t="shared" si="10"/>
        <v>19</v>
      </c>
      <c r="M29" s="34">
        <f t="shared" si="10"/>
        <v>16.8</v>
      </c>
      <c r="N29" s="34">
        <f t="shared" si="10"/>
        <v>43.152999999999999</v>
      </c>
      <c r="O29" s="34">
        <f t="shared" si="10"/>
        <v>30.155969959999997</v>
      </c>
      <c r="P29" s="34">
        <f t="shared" si="10"/>
        <v>25.311633009999998</v>
      </c>
      <c r="Q29" s="34">
        <f t="shared" si="10"/>
        <v>14.064908149999999</v>
      </c>
      <c r="R29" s="34">
        <f t="shared" si="10"/>
        <v>25.810474169999999</v>
      </c>
      <c r="S29" s="34">
        <f t="shared" ref="S29:T29" si="11">SUM(S30:S33)</f>
        <v>21.937028699999999</v>
      </c>
      <c r="T29" s="34">
        <f t="shared" si="11"/>
        <v>17.029587810000002</v>
      </c>
      <c r="U29" s="682">
        <f t="shared" si="10"/>
        <v>12.73129881</v>
      </c>
      <c r="V29" s="603">
        <f t="shared" ref="V29" si="12">SUM(V30:V33)</f>
        <v>6.9132531099999985</v>
      </c>
    </row>
    <row r="30" spans="1:22" ht="18" customHeight="1">
      <c r="B30" s="35" t="s">
        <v>89</v>
      </c>
      <c r="C30" s="49">
        <v>1.3</v>
      </c>
      <c r="D30" s="50">
        <v>0.5</v>
      </c>
      <c r="E30" s="50">
        <v>2.4</v>
      </c>
      <c r="F30" s="50">
        <v>0.4</v>
      </c>
      <c r="G30" s="50">
        <v>0.1</v>
      </c>
      <c r="H30" s="50">
        <v>0.13624099999999997</v>
      </c>
      <c r="I30" s="50">
        <v>0</v>
      </c>
      <c r="J30" s="50">
        <v>1E-3</v>
      </c>
      <c r="K30" s="50">
        <v>0.09</v>
      </c>
      <c r="L30" s="50">
        <v>0</v>
      </c>
      <c r="M30" s="50">
        <v>0.2</v>
      </c>
      <c r="N30" s="50">
        <v>0.16300000000000001</v>
      </c>
      <c r="O30" s="50">
        <v>0.176733</v>
      </c>
      <c r="P30" s="50">
        <v>1.0554000000000001E-2</v>
      </c>
      <c r="Q30" s="50">
        <v>3.6828600000000003E-2</v>
      </c>
      <c r="R30" s="37">
        <v>0</v>
      </c>
      <c r="S30" s="37">
        <v>6.9502640000000004E-2</v>
      </c>
      <c r="T30" s="50">
        <v>0</v>
      </c>
      <c r="U30" s="50">
        <v>0</v>
      </c>
      <c r="V30" s="51">
        <v>0</v>
      </c>
    </row>
    <row r="31" spans="1:22" ht="18" customHeight="1">
      <c r="A31" s="55"/>
      <c r="B31" s="35" t="s">
        <v>310</v>
      </c>
      <c r="C31" s="49">
        <v>0</v>
      </c>
      <c r="D31" s="50">
        <v>0</v>
      </c>
      <c r="E31" s="50">
        <v>0</v>
      </c>
      <c r="F31" s="50">
        <v>38.700000000000003</v>
      </c>
      <c r="G31" s="50">
        <v>12.8</v>
      </c>
      <c r="H31" s="50">
        <v>0</v>
      </c>
      <c r="I31" s="50">
        <v>0</v>
      </c>
      <c r="J31" s="50">
        <v>0</v>
      </c>
      <c r="K31" s="50">
        <v>0</v>
      </c>
      <c r="L31" s="50">
        <v>0</v>
      </c>
      <c r="M31" s="50">
        <v>0</v>
      </c>
      <c r="N31" s="50">
        <v>0</v>
      </c>
      <c r="O31" s="50">
        <v>0</v>
      </c>
      <c r="P31" s="50">
        <v>0</v>
      </c>
      <c r="Q31" s="50"/>
      <c r="R31" s="37"/>
      <c r="S31" s="37"/>
      <c r="T31" s="50"/>
      <c r="U31" s="50"/>
      <c r="V31" s="51"/>
    </row>
    <row r="32" spans="1:22" ht="18" customHeight="1">
      <c r="B32" s="35" t="s">
        <v>311</v>
      </c>
      <c r="C32" s="49">
        <v>77</v>
      </c>
      <c r="D32" s="50">
        <v>32.1</v>
      </c>
      <c r="E32" s="50">
        <v>18.5</v>
      </c>
      <c r="F32" s="50">
        <v>49.4</v>
      </c>
      <c r="G32" s="50">
        <v>23.9</v>
      </c>
      <c r="H32" s="50">
        <v>6.6388030699999998</v>
      </c>
      <c r="I32" s="50">
        <v>9.1</v>
      </c>
      <c r="J32" s="50">
        <v>21.97</v>
      </c>
      <c r="K32" s="50">
        <v>29.11</v>
      </c>
      <c r="L32" s="50">
        <v>19</v>
      </c>
      <c r="M32" s="50">
        <v>16.600000000000001</v>
      </c>
      <c r="N32" s="50">
        <v>42.99</v>
      </c>
      <c r="O32" s="50">
        <v>29.979236959999998</v>
      </c>
      <c r="P32" s="50">
        <v>25.301079009999999</v>
      </c>
      <c r="Q32" s="50">
        <v>14.028079549999999</v>
      </c>
      <c r="R32" s="37">
        <v>25.810474169999999</v>
      </c>
      <c r="S32" s="37">
        <v>21.867526059999999</v>
      </c>
      <c r="T32" s="50">
        <v>17.029587810000002</v>
      </c>
      <c r="U32" s="50">
        <v>12.73129881</v>
      </c>
      <c r="V32" s="51">
        <v>6.9132531099999985</v>
      </c>
    </row>
    <row r="33" spans="1:22" ht="18" customHeight="1">
      <c r="A33" s="55"/>
      <c r="B33" s="35" t="s">
        <v>312</v>
      </c>
      <c r="C33" s="49">
        <v>0</v>
      </c>
      <c r="D33" s="50">
        <v>0</v>
      </c>
      <c r="E33" s="50">
        <v>0</v>
      </c>
      <c r="F33" s="50">
        <v>0</v>
      </c>
      <c r="G33" s="50">
        <v>1.1000000000000001</v>
      </c>
      <c r="H33" s="50">
        <v>0</v>
      </c>
      <c r="I33" s="50">
        <v>0</v>
      </c>
      <c r="J33" s="50">
        <v>0</v>
      </c>
      <c r="K33" s="50">
        <v>0</v>
      </c>
      <c r="L33" s="50">
        <v>0</v>
      </c>
      <c r="M33" s="50"/>
      <c r="N33" s="50"/>
      <c r="O33" s="50"/>
      <c r="P33" s="50"/>
      <c r="Q33" s="50"/>
      <c r="R33" s="37"/>
      <c r="S33" s="37"/>
      <c r="T33" s="50"/>
      <c r="U33" s="53"/>
      <c r="V33" s="51"/>
    </row>
    <row r="34" spans="1:22" ht="24.95" customHeight="1">
      <c r="B34" s="38" t="s">
        <v>91</v>
      </c>
      <c r="C34" s="39">
        <f>+C7+C29</f>
        <v>1633.1314285714286</v>
      </c>
      <c r="D34" s="40">
        <f t="shared" ref="D34:U34" si="13">+D7+D29</f>
        <v>1646.9399999999998</v>
      </c>
      <c r="E34" s="40">
        <f t="shared" si="13"/>
        <v>1825.3999999999999</v>
      </c>
      <c r="F34" s="40">
        <f t="shared" si="13"/>
        <v>2024.5867659999999</v>
      </c>
      <c r="G34" s="40">
        <f t="shared" si="13"/>
        <v>2168.8389999999999</v>
      </c>
      <c r="H34" s="40">
        <f t="shared" si="13"/>
        <v>2351.4764023300004</v>
      </c>
      <c r="I34" s="40">
        <f t="shared" si="13"/>
        <v>2730.3129999999996</v>
      </c>
      <c r="J34" s="40">
        <f t="shared" si="13"/>
        <v>3047.7880000000005</v>
      </c>
      <c r="K34" s="40">
        <f t="shared" si="13"/>
        <v>3275.2690000000007</v>
      </c>
      <c r="L34" s="40">
        <f t="shared" si="13"/>
        <v>2987.7529999999997</v>
      </c>
      <c r="M34" s="40">
        <f t="shared" si="13"/>
        <v>3267.9924289199998</v>
      </c>
      <c r="N34" s="40">
        <f t="shared" si="13"/>
        <v>3666.27</v>
      </c>
      <c r="O34" s="40">
        <f t="shared" si="13"/>
        <v>3857.5895659600005</v>
      </c>
      <c r="P34" s="40">
        <f t="shared" si="13"/>
        <v>4113.9858584899994</v>
      </c>
      <c r="Q34" s="40">
        <f t="shared" si="13"/>
        <v>4151.7676966899999</v>
      </c>
      <c r="R34" s="40">
        <f t="shared" si="13"/>
        <v>4302.4737031599998</v>
      </c>
      <c r="S34" s="40">
        <f t="shared" ref="S34:T34" si="14">+S7+S29</f>
        <v>4433.5715443400004</v>
      </c>
      <c r="T34" s="40">
        <f t="shared" si="14"/>
        <v>4835.0465344539998</v>
      </c>
      <c r="U34" s="40">
        <f t="shared" si="13"/>
        <v>5055.4679807490011</v>
      </c>
      <c r="V34" s="41">
        <f t="shared" ref="V34" si="15">+V7+V29</f>
        <v>2833.33987729</v>
      </c>
    </row>
    <row r="35" spans="1:22" ht="8.25" customHeight="1">
      <c r="B35" s="42"/>
      <c r="C35" s="36"/>
      <c r="D35" s="37"/>
      <c r="E35" s="37"/>
      <c r="F35" s="37"/>
      <c r="G35" s="37"/>
      <c r="H35" s="37"/>
      <c r="I35" s="37"/>
      <c r="J35" s="37"/>
      <c r="K35" s="37"/>
      <c r="L35" s="37"/>
      <c r="M35" s="37"/>
      <c r="N35" s="37"/>
      <c r="O35" s="37"/>
      <c r="P35" s="37"/>
      <c r="Q35" s="37"/>
      <c r="R35" s="37"/>
      <c r="S35" s="37"/>
      <c r="T35" s="37"/>
      <c r="U35" s="37"/>
      <c r="V35" s="19"/>
    </row>
    <row r="36" spans="1:22" ht="24.95" customHeight="1">
      <c r="B36" s="25" t="s">
        <v>92</v>
      </c>
      <c r="C36" s="33">
        <f>SUM(C37:C38)</f>
        <v>108</v>
      </c>
      <c r="D36" s="34">
        <f t="shared" ref="D36:U36" si="16">SUM(D37:D38)</f>
        <v>81.2</v>
      </c>
      <c r="E36" s="34">
        <f t="shared" si="16"/>
        <v>89.800000000000011</v>
      </c>
      <c r="F36" s="34">
        <f t="shared" si="16"/>
        <v>76.039999999999992</v>
      </c>
      <c r="G36" s="34">
        <f t="shared" si="16"/>
        <v>105.23</v>
      </c>
      <c r="H36" s="34">
        <f t="shared" si="16"/>
        <v>97.694800000000001</v>
      </c>
      <c r="I36" s="34">
        <f t="shared" si="16"/>
        <v>85.974943010000004</v>
      </c>
      <c r="J36" s="34">
        <f t="shared" si="16"/>
        <v>156.4</v>
      </c>
      <c r="K36" s="34">
        <f t="shared" si="16"/>
        <v>203.8</v>
      </c>
      <c r="L36" s="34">
        <f t="shared" si="16"/>
        <v>226.7</v>
      </c>
      <c r="M36" s="34">
        <f t="shared" si="16"/>
        <v>188.8</v>
      </c>
      <c r="N36" s="34">
        <f t="shared" si="16"/>
        <v>293.39999999999998</v>
      </c>
      <c r="O36" s="34">
        <f t="shared" si="16"/>
        <v>251.54791074999997</v>
      </c>
      <c r="P36" s="34">
        <f t="shared" si="16"/>
        <v>197.83535148999999</v>
      </c>
      <c r="Q36" s="34">
        <f t="shared" si="16"/>
        <v>217.59569381</v>
      </c>
      <c r="R36" s="34">
        <f t="shared" si="16"/>
        <v>200.52225097000002</v>
      </c>
      <c r="S36" s="34">
        <f t="shared" ref="S36:T36" si="17">SUM(S37:S38)</f>
        <v>71.708325920000007</v>
      </c>
      <c r="T36" s="34">
        <f t="shared" si="17"/>
        <v>83.084466079999999</v>
      </c>
      <c r="U36" s="34">
        <f t="shared" si="16"/>
        <v>114.45034977</v>
      </c>
      <c r="V36" s="22">
        <f t="shared" ref="V36" si="18">SUM(V37:V38)</f>
        <v>77.984107810000012</v>
      </c>
    </row>
    <row r="37" spans="1:22" ht="18" customHeight="1">
      <c r="B37" s="43" t="s">
        <v>93</v>
      </c>
      <c r="C37" s="49">
        <v>22.4</v>
      </c>
      <c r="D37" s="50">
        <v>24</v>
      </c>
      <c r="E37" s="50">
        <v>22.9</v>
      </c>
      <c r="F37" s="50">
        <v>27.14</v>
      </c>
      <c r="G37" s="50">
        <v>30.97</v>
      </c>
      <c r="H37" s="50">
        <v>31.301999999999992</v>
      </c>
      <c r="I37" s="50">
        <v>31.146500000000003</v>
      </c>
      <c r="J37" s="50">
        <v>35</v>
      </c>
      <c r="K37" s="50">
        <v>49.3</v>
      </c>
      <c r="L37" s="50">
        <v>54.7</v>
      </c>
      <c r="M37" s="50">
        <v>55</v>
      </c>
      <c r="N37" s="50">
        <v>66</v>
      </c>
      <c r="O37" s="50">
        <v>67.602248700000004</v>
      </c>
      <c r="P37" s="50">
        <v>26.868942950000001</v>
      </c>
      <c r="Q37" s="50">
        <v>27.987579760000003</v>
      </c>
      <c r="R37" s="37">
        <v>29.83883213</v>
      </c>
      <c r="S37" s="37">
        <v>30.863899409999998</v>
      </c>
      <c r="T37" s="37">
        <v>39.57973999</v>
      </c>
      <c r="U37" s="50">
        <v>40.37380297</v>
      </c>
      <c r="V37" s="51">
        <v>27.415685490000001</v>
      </c>
    </row>
    <row r="38" spans="1:22" ht="18" customHeight="1">
      <c r="B38" s="44" t="s">
        <v>94</v>
      </c>
      <c r="C38" s="52">
        <v>85.6</v>
      </c>
      <c r="D38" s="53">
        <v>57.2</v>
      </c>
      <c r="E38" s="53">
        <v>66.900000000000006</v>
      </c>
      <c r="F38" s="53">
        <v>48.9</v>
      </c>
      <c r="G38" s="53">
        <v>74.260000000000005</v>
      </c>
      <c r="H38" s="53">
        <v>66.392800000000008</v>
      </c>
      <c r="I38" s="53">
        <v>54.828443009999994</v>
      </c>
      <c r="J38" s="53">
        <v>121.4</v>
      </c>
      <c r="K38" s="53">
        <v>154.5</v>
      </c>
      <c r="L38" s="53">
        <v>172</v>
      </c>
      <c r="M38" s="53">
        <v>133.80000000000001</v>
      </c>
      <c r="N38" s="53">
        <v>227.4</v>
      </c>
      <c r="O38" s="53">
        <v>183.94566204999998</v>
      </c>
      <c r="P38" s="53">
        <v>170.96640854</v>
      </c>
      <c r="Q38" s="53">
        <v>189.60811404999998</v>
      </c>
      <c r="R38" s="46">
        <v>170.68341884</v>
      </c>
      <c r="S38" s="46">
        <v>40.844426510000005</v>
      </c>
      <c r="T38" s="46">
        <v>43.504726089999998</v>
      </c>
      <c r="U38" s="53">
        <v>74.076546800000003</v>
      </c>
      <c r="V38" s="54">
        <v>50.568422320000003</v>
      </c>
    </row>
    <row r="39" spans="1:22" ht="30.75" customHeight="1">
      <c r="B39" s="765" t="s">
        <v>95</v>
      </c>
      <c r="C39" s="765"/>
      <c r="D39" s="765"/>
      <c r="E39" s="765"/>
      <c r="F39" s="765"/>
      <c r="G39" s="765"/>
      <c r="H39" s="765"/>
      <c r="I39" s="765"/>
      <c r="J39" s="765"/>
      <c r="K39" s="765"/>
      <c r="L39" s="765"/>
      <c r="M39" s="765"/>
      <c r="N39" s="765"/>
      <c r="O39" s="765"/>
      <c r="P39" s="765"/>
      <c r="Q39" s="765"/>
      <c r="R39" s="765"/>
      <c r="S39" s="765"/>
      <c r="T39" s="765"/>
      <c r="U39" s="765"/>
      <c r="V39" s="765"/>
    </row>
    <row r="40" spans="1:22" ht="19.5" customHeight="1">
      <c r="B40" s="766" t="s">
        <v>96</v>
      </c>
      <c r="C40" s="766"/>
      <c r="D40" s="766"/>
      <c r="E40" s="766"/>
      <c r="F40" s="766"/>
      <c r="G40" s="766"/>
      <c r="H40" s="766"/>
      <c r="I40" s="766"/>
      <c r="J40" s="766"/>
      <c r="K40" s="766"/>
      <c r="L40" s="766"/>
      <c r="M40" s="766"/>
      <c r="N40" s="766"/>
      <c r="O40" s="766"/>
      <c r="P40" s="766"/>
      <c r="Q40" s="766"/>
      <c r="R40" s="766"/>
      <c r="S40" s="766"/>
      <c r="T40" s="766"/>
      <c r="U40" s="766"/>
      <c r="V40" s="766"/>
    </row>
    <row r="41" spans="1:22" ht="36.75" customHeight="1">
      <c r="B41" s="766" t="s">
        <v>108</v>
      </c>
      <c r="C41" s="766"/>
      <c r="D41" s="766"/>
      <c r="E41" s="766"/>
      <c r="F41" s="766"/>
      <c r="G41" s="766"/>
      <c r="H41" s="766"/>
      <c r="I41" s="766"/>
      <c r="J41" s="766"/>
      <c r="K41" s="766"/>
      <c r="L41" s="766"/>
      <c r="M41" s="766"/>
      <c r="N41" s="766"/>
      <c r="O41" s="766"/>
      <c r="P41" s="766"/>
      <c r="Q41" s="766"/>
      <c r="R41" s="766"/>
      <c r="S41" s="766"/>
      <c r="T41" s="766"/>
      <c r="U41" s="766"/>
      <c r="V41" s="766"/>
    </row>
    <row r="42" spans="1:22" ht="44.25" customHeight="1">
      <c r="B42" s="766" t="s">
        <v>313</v>
      </c>
      <c r="C42" s="766"/>
      <c r="D42" s="766"/>
      <c r="E42" s="766"/>
      <c r="F42" s="766"/>
      <c r="G42" s="766"/>
      <c r="H42" s="766"/>
      <c r="I42" s="766"/>
      <c r="J42" s="766"/>
      <c r="K42" s="766"/>
      <c r="L42" s="766"/>
      <c r="M42" s="766"/>
      <c r="N42" s="766"/>
      <c r="O42" s="766"/>
      <c r="P42" s="766"/>
      <c r="Q42" s="766"/>
      <c r="R42" s="766"/>
      <c r="S42" s="766"/>
      <c r="T42" s="766"/>
      <c r="U42" s="766"/>
      <c r="V42" s="766"/>
    </row>
    <row r="43" spans="1:22" ht="29.25" customHeight="1">
      <c r="B43" s="766" t="s">
        <v>678</v>
      </c>
      <c r="C43" s="766"/>
      <c r="D43" s="766"/>
      <c r="E43" s="766"/>
      <c r="F43" s="766"/>
      <c r="G43" s="766"/>
      <c r="H43" s="766"/>
      <c r="I43" s="766"/>
      <c r="J43" s="766"/>
      <c r="K43" s="766"/>
      <c r="L43" s="766"/>
      <c r="M43" s="766"/>
      <c r="N43" s="766"/>
      <c r="O43" s="766"/>
      <c r="P43" s="766"/>
      <c r="Q43" s="766"/>
      <c r="R43" s="766"/>
      <c r="S43" s="766"/>
      <c r="T43" s="766"/>
      <c r="U43" s="766"/>
      <c r="V43" s="766"/>
    </row>
    <row r="46" spans="1:22">
      <c r="B46" t="s">
        <v>18</v>
      </c>
    </row>
    <row r="47" spans="1:22">
      <c r="B47" t="s">
        <v>722</v>
      </c>
    </row>
    <row r="48" spans="1:22">
      <c r="B48" t="s">
        <v>55</v>
      </c>
    </row>
    <row r="49" spans="2:22" ht="8.1" customHeight="1"/>
    <row r="50" spans="2:22" ht="30" customHeight="1">
      <c r="B50" s="12" t="s">
        <v>58</v>
      </c>
      <c r="C50" s="12">
        <v>2000</v>
      </c>
      <c r="D50" s="32">
        <v>2001</v>
      </c>
      <c r="E50" s="32">
        <v>2002</v>
      </c>
      <c r="F50" s="32">
        <v>2003</v>
      </c>
      <c r="G50" s="32">
        <v>2004</v>
      </c>
      <c r="H50" s="32">
        <v>2005</v>
      </c>
      <c r="I50" s="32">
        <v>2006</v>
      </c>
      <c r="J50" s="32">
        <v>2007</v>
      </c>
      <c r="K50" s="32">
        <v>2008</v>
      </c>
      <c r="L50" s="32">
        <v>2009</v>
      </c>
      <c r="M50" s="32">
        <v>2010</v>
      </c>
      <c r="N50" s="32">
        <v>2011</v>
      </c>
      <c r="O50" s="32">
        <v>2012</v>
      </c>
      <c r="P50" s="32">
        <v>2013</v>
      </c>
      <c r="Q50" s="32">
        <v>2014</v>
      </c>
      <c r="R50" s="32">
        <v>2015</v>
      </c>
      <c r="S50" s="32">
        <v>2016</v>
      </c>
      <c r="T50" s="32">
        <v>2017</v>
      </c>
      <c r="U50" s="14">
        <v>2018</v>
      </c>
      <c r="V50" s="14">
        <v>2019</v>
      </c>
    </row>
    <row r="51" spans="2:22" ht="24.75" customHeight="1">
      <c r="B51" s="25" t="s">
        <v>71</v>
      </c>
      <c r="C51" s="33">
        <f t="shared" ref="C51:U51" si="19">C7/C$83*100</f>
        <v>13.193387050847383</v>
      </c>
      <c r="D51" s="34">
        <f t="shared" si="19"/>
        <v>13.143383325748031</v>
      </c>
      <c r="E51" s="34">
        <f t="shared" si="19"/>
        <v>14.248838654505338</v>
      </c>
      <c r="F51" s="34">
        <f t="shared" si="19"/>
        <v>14.618716751649252</v>
      </c>
      <c r="G51" s="34">
        <f t="shared" si="19"/>
        <v>15.526182147512424</v>
      </c>
      <c r="H51" s="34">
        <f t="shared" si="19"/>
        <v>15.952519786773712</v>
      </c>
      <c r="I51" s="34">
        <f t="shared" si="19"/>
        <v>17.007698177924972</v>
      </c>
      <c r="J51" s="34">
        <f t="shared" si="19"/>
        <v>17.786629829382637</v>
      </c>
      <c r="K51" s="34">
        <f t="shared" si="19"/>
        <v>18.046860796947115</v>
      </c>
      <c r="L51" s="34">
        <f t="shared" si="19"/>
        <v>16.866362300742772</v>
      </c>
      <c r="M51" s="34">
        <f t="shared" si="19"/>
        <v>17.623626018109359</v>
      </c>
      <c r="N51" s="34">
        <f t="shared" si="19"/>
        <v>17.862139108193841</v>
      </c>
      <c r="O51" s="34">
        <f t="shared" si="19"/>
        <v>17.896786452914622</v>
      </c>
      <c r="P51" s="34">
        <f t="shared" si="19"/>
        <v>18.592522679682926</v>
      </c>
      <c r="Q51" s="34">
        <f t="shared" si="19"/>
        <v>18.313710946304397</v>
      </c>
      <c r="R51" s="34">
        <f t="shared" si="19"/>
        <v>18.246520340221789</v>
      </c>
      <c r="S51" s="34">
        <f t="shared" ref="S51:T51" si="20">S7/S$83*100</f>
        <v>18.264529372599529</v>
      </c>
      <c r="T51" s="34">
        <f t="shared" si="20"/>
        <v>19.327754914034315</v>
      </c>
      <c r="U51" s="22">
        <f t="shared" si="19"/>
        <v>19.352758543171227</v>
      </c>
      <c r="V51" s="22">
        <f t="shared" ref="V51" si="21">V7/V$83*100</f>
        <v>10.528806893651261</v>
      </c>
    </row>
    <row r="52" spans="2:22" ht="24.75" customHeight="1">
      <c r="B52" s="15" t="s">
        <v>72</v>
      </c>
      <c r="C52" s="33">
        <f t="shared" ref="C52:U52" si="22">C8/C$83*100</f>
        <v>12.314298248453142</v>
      </c>
      <c r="D52" s="34">
        <f t="shared" si="22"/>
        <v>12.458670974139691</v>
      </c>
      <c r="E52" s="34">
        <f t="shared" si="22"/>
        <v>13.305233102156549</v>
      </c>
      <c r="F52" s="34">
        <f t="shared" si="22"/>
        <v>13.683946076266112</v>
      </c>
      <c r="G52" s="34">
        <f t="shared" si="22"/>
        <v>14.028165052922409</v>
      </c>
      <c r="H52" s="34">
        <f t="shared" si="22"/>
        <v>15.168059315961354</v>
      </c>
      <c r="I52" s="34">
        <f t="shared" si="22"/>
        <v>16.08519183569387</v>
      </c>
      <c r="J52" s="34">
        <f t="shared" si="22"/>
        <v>16.910411921172134</v>
      </c>
      <c r="K52" s="34">
        <f t="shared" si="22"/>
        <v>17.176504665342375</v>
      </c>
      <c r="L52" s="34">
        <f t="shared" si="22"/>
        <v>16.112113544094235</v>
      </c>
      <c r="M52" s="34">
        <f t="shared" si="22"/>
        <v>16.651215963642514</v>
      </c>
      <c r="N52" s="34">
        <f t="shared" si="22"/>
        <v>17.189118596237982</v>
      </c>
      <c r="O52" s="34">
        <f t="shared" si="22"/>
        <v>17.23250469149426</v>
      </c>
      <c r="P52" s="34">
        <f t="shared" si="22"/>
        <v>17.935077381387625</v>
      </c>
      <c r="Q52" s="34">
        <f t="shared" si="22"/>
        <v>17.655615683513869</v>
      </c>
      <c r="R52" s="34">
        <f t="shared" si="22"/>
        <v>17.569806390198238</v>
      </c>
      <c r="S52" s="34">
        <f t="shared" ref="S52:T52" si="23">S8/S$83*100</f>
        <v>17.545641644217071</v>
      </c>
      <c r="T52" s="34">
        <f t="shared" si="23"/>
        <v>18.004592116578284</v>
      </c>
      <c r="U52" s="22">
        <f t="shared" si="22"/>
        <v>18.303384625282177</v>
      </c>
      <c r="V52" s="22">
        <f t="shared" ref="V52" si="24">V8/V$83*100</f>
        <v>10.040463751429519</v>
      </c>
    </row>
    <row r="53" spans="2:22" ht="18" customHeight="1">
      <c r="B53" s="35" t="s">
        <v>73</v>
      </c>
      <c r="C53" s="49">
        <f t="shared" ref="C53:U53" si="25">C9/C$83*100</f>
        <v>6.7815421898984551</v>
      </c>
      <c r="D53" s="50">
        <f t="shared" si="25"/>
        <v>7.053107136721831</v>
      </c>
      <c r="E53" s="50">
        <f t="shared" si="25"/>
        <v>7.1374481905277785</v>
      </c>
      <c r="F53" s="50">
        <f t="shared" si="25"/>
        <v>7.2508907881294702</v>
      </c>
      <c r="G53" s="50">
        <f t="shared" si="25"/>
        <v>7.4769705372970563</v>
      </c>
      <c r="H53" s="50">
        <f t="shared" si="25"/>
        <v>7.9597011563478022</v>
      </c>
      <c r="I53" s="50">
        <f t="shared" si="25"/>
        <v>8.5156835453243751</v>
      </c>
      <c r="J53" s="50">
        <f t="shared" si="25"/>
        <v>8.8574073801931004</v>
      </c>
      <c r="K53" s="50">
        <f t="shared" si="25"/>
        <v>8.9799292707077214</v>
      </c>
      <c r="L53" s="50">
        <f t="shared" si="25"/>
        <v>8.0856193918514325</v>
      </c>
      <c r="M53" s="50">
        <f t="shared" si="25"/>
        <v>8.4906103235486707</v>
      </c>
      <c r="N53" s="50">
        <f t="shared" si="25"/>
        <v>8.8814609505723308</v>
      </c>
      <c r="O53" s="50">
        <f t="shared" si="25"/>
        <v>8.7013955542255133</v>
      </c>
      <c r="P53" s="50">
        <f t="shared" si="25"/>
        <v>8.6474340783667483</v>
      </c>
      <c r="Q53" s="50">
        <f t="shared" si="25"/>
        <v>8.453718157237466</v>
      </c>
      <c r="R53" s="37">
        <f t="shared" si="25"/>
        <v>8.2528612192297715</v>
      </c>
      <c r="S53" s="37">
        <f t="shared" si="25"/>
        <v>7.6752011548759187</v>
      </c>
      <c r="T53" s="37">
        <f t="shared" ref="T53" si="26">T9/T$83*100</f>
        <v>7.8102652006962465</v>
      </c>
      <c r="U53" s="19">
        <f t="shared" si="25"/>
        <v>8.0722588083213154</v>
      </c>
      <c r="V53" s="19">
        <f t="shared" ref="V53" si="27">V9/V$83*100</f>
        <v>4.1100533544424032</v>
      </c>
    </row>
    <row r="54" spans="2:22" ht="18" customHeight="1">
      <c r="B54" s="35" t="s">
        <v>24</v>
      </c>
      <c r="C54" s="49">
        <f t="shared" ref="C54:U54" si="28">C10/C$83*100</f>
        <v>3.8284487052532343</v>
      </c>
      <c r="D54" s="50">
        <f t="shared" si="28"/>
        <v>3.7080308372949218</v>
      </c>
      <c r="E54" s="50">
        <f t="shared" si="28"/>
        <v>3.7917940270952979</v>
      </c>
      <c r="F54" s="50">
        <f t="shared" si="28"/>
        <v>4.0026004444313568</v>
      </c>
      <c r="G54" s="50">
        <f t="shared" si="28"/>
        <v>4.114446757368591</v>
      </c>
      <c r="H54" s="50">
        <f t="shared" si="28"/>
        <v>4.7600896129405363</v>
      </c>
      <c r="I54" s="50">
        <f t="shared" si="28"/>
        <v>5.1169101787574789</v>
      </c>
      <c r="J54" s="50">
        <f t="shared" si="28"/>
        <v>5.6913603832645085</v>
      </c>
      <c r="K54" s="50">
        <f t="shared" si="28"/>
        <v>5.8564876974285172</v>
      </c>
      <c r="L54" s="50">
        <f t="shared" si="28"/>
        <v>5.7028841663437797</v>
      </c>
      <c r="M54" s="50">
        <f t="shared" si="28"/>
        <v>5.6993091904127953</v>
      </c>
      <c r="N54" s="50">
        <f t="shared" si="28"/>
        <v>5.8805952342216301</v>
      </c>
      <c r="O54" s="50">
        <f t="shared" si="28"/>
        <v>6.1599333840359307</v>
      </c>
      <c r="P54" s="50">
        <f t="shared" si="28"/>
        <v>6.8499390307198968</v>
      </c>
      <c r="Q54" s="50">
        <f t="shared" si="28"/>
        <v>6.8575435996772516</v>
      </c>
      <c r="R54" s="37">
        <f t="shared" si="28"/>
        <v>6.7192198233314429</v>
      </c>
      <c r="S54" s="37">
        <f t="shared" si="28"/>
        <v>6.9957315080125078</v>
      </c>
      <c r="T54" s="37">
        <f t="shared" ref="T54" si="29">T10/T$83*100</f>
        <v>7.1131534250883641</v>
      </c>
      <c r="U54" s="19">
        <f t="shared" si="28"/>
        <v>7.1373663553740387</v>
      </c>
      <c r="V54" s="19">
        <f t="shared" ref="V54" si="30">V10/V$83*100</f>
        <v>4.3933949406773021</v>
      </c>
    </row>
    <row r="55" spans="2:22" ht="18" customHeight="1">
      <c r="B55" s="35" t="s">
        <v>27</v>
      </c>
      <c r="C55" s="49">
        <f t="shared" ref="C55:U55" si="31">C11/C$83*100</f>
        <v>1.1920308393855541</v>
      </c>
      <c r="D55" s="50">
        <f t="shared" si="31"/>
        <v>1.1886801823402833</v>
      </c>
      <c r="E55" s="50">
        <f t="shared" si="31"/>
        <v>1.2223442636283883</v>
      </c>
      <c r="F55" s="50">
        <f t="shared" si="31"/>
        <v>1.3409957346368779</v>
      </c>
      <c r="G55" s="50">
        <f t="shared" si="31"/>
        <v>1.2903639467504469</v>
      </c>
      <c r="H55" s="50">
        <f t="shared" si="31"/>
        <v>1.2304607839161787</v>
      </c>
      <c r="I55" s="50">
        <f t="shared" si="31"/>
        <v>1.2481335809183689</v>
      </c>
      <c r="J55" s="50">
        <f t="shared" si="31"/>
        <v>1.1982306347083633</v>
      </c>
      <c r="K55" s="50">
        <f t="shared" si="31"/>
        <v>0.99405733842815525</v>
      </c>
      <c r="L55" s="50">
        <f t="shared" si="31"/>
        <v>0.78401874372927038</v>
      </c>
      <c r="M55" s="50">
        <f t="shared" si="31"/>
        <v>0.81602153521914667</v>
      </c>
      <c r="N55" s="50">
        <f t="shared" si="31"/>
        <v>0.82502373817897856</v>
      </c>
      <c r="O55" s="50">
        <f t="shared" si="31"/>
        <v>0.83976015206103027</v>
      </c>
      <c r="P55" s="50">
        <f t="shared" si="31"/>
        <v>0.90586431524590127</v>
      </c>
      <c r="Q55" s="50">
        <f t="shared" si="31"/>
        <v>0.80236713612384447</v>
      </c>
      <c r="R55" s="37">
        <f t="shared" si="31"/>
        <v>0.82845735025326128</v>
      </c>
      <c r="S55" s="37">
        <f t="shared" si="31"/>
        <v>0.85482483883695148</v>
      </c>
      <c r="T55" s="37">
        <f t="shared" ref="T55" si="32">T11/T$83*100</f>
        <v>0.84569027806917274</v>
      </c>
      <c r="U55" s="19">
        <f t="shared" si="31"/>
        <v>0.87278632425756819</v>
      </c>
      <c r="V55" s="19">
        <f t="shared" ref="V55" si="33">V11/V$83*100</f>
        <v>0.40105760712542882</v>
      </c>
    </row>
    <row r="56" spans="2:22" ht="18" customHeight="1">
      <c r="B56" s="35" t="s">
        <v>74</v>
      </c>
      <c r="C56" s="49">
        <f t="shared" ref="C56:U56" si="34">C12/C$83*100</f>
        <v>0.41350630484380108</v>
      </c>
      <c r="D56" s="50">
        <f t="shared" si="34"/>
        <v>0.40056893815850647</v>
      </c>
      <c r="E56" s="50">
        <f t="shared" si="34"/>
        <v>0.52510267139074829</v>
      </c>
      <c r="F56" s="50">
        <f t="shared" si="34"/>
        <v>0.46587520735977123</v>
      </c>
      <c r="G56" s="50">
        <f t="shared" si="34"/>
        <v>0.54062679191915952</v>
      </c>
      <c r="H56" s="50">
        <f t="shared" si="34"/>
        <v>0.64875742652061497</v>
      </c>
      <c r="I56" s="50">
        <f t="shared" si="34"/>
        <v>0.60875418518502322</v>
      </c>
      <c r="J56" s="50">
        <f t="shared" si="34"/>
        <v>0.57477919673167077</v>
      </c>
      <c r="K56" s="50">
        <f t="shared" si="34"/>
        <v>0.53249894784479146</v>
      </c>
      <c r="L56" s="50">
        <f t="shared" si="34"/>
        <v>0.56642513586817578</v>
      </c>
      <c r="M56" s="50">
        <f t="shared" si="34"/>
        <v>0.64878858971634756</v>
      </c>
      <c r="N56" s="50">
        <f t="shared" si="34"/>
        <v>0.69218853685062642</v>
      </c>
      <c r="O56" s="50">
        <f t="shared" si="34"/>
        <v>0.68309723204036255</v>
      </c>
      <c r="P56" s="50">
        <f t="shared" si="34"/>
        <v>0.65967958574796182</v>
      </c>
      <c r="Q56" s="50">
        <f t="shared" si="34"/>
        <v>0.66119781273084655</v>
      </c>
      <c r="R56" s="37">
        <f t="shared" si="34"/>
        <v>0.69258579769641393</v>
      </c>
      <c r="S56" s="37">
        <f t="shared" si="34"/>
        <v>0.70444263348970426</v>
      </c>
      <c r="T56" s="37">
        <f t="shared" ref="T56" si="35">T12/T$83*100</f>
        <v>0.69490485363629695</v>
      </c>
      <c r="U56" s="19">
        <f t="shared" si="34"/>
        <v>0.68301463874883239</v>
      </c>
      <c r="V56" s="19">
        <f t="shared" ref="V56" si="36">V12/V$83*100</f>
        <v>0.34909048627848327</v>
      </c>
    </row>
    <row r="57" spans="2:22" ht="18" customHeight="1">
      <c r="B57" s="35" t="s">
        <v>75</v>
      </c>
      <c r="C57" s="49">
        <f t="shared" ref="C57:U57" si="37">C13/C$83*100</f>
        <v>9.877020907209462E-2</v>
      </c>
      <c r="D57" s="50">
        <f t="shared" si="37"/>
        <v>9.5257247488913094E-2</v>
      </c>
      <c r="E57" s="50">
        <f t="shared" si="37"/>
        <v>0.11686495543733945</v>
      </c>
      <c r="F57" s="50">
        <f t="shared" si="37"/>
        <v>0.11174964455307317</v>
      </c>
      <c r="G57" s="50">
        <f t="shared" si="37"/>
        <v>0.11321832506242346</v>
      </c>
      <c r="H57" s="50">
        <f t="shared" si="37"/>
        <v>0.11343794815621175</v>
      </c>
      <c r="I57" s="50">
        <f t="shared" si="37"/>
        <v>0.12133208415807858</v>
      </c>
      <c r="J57" s="50">
        <f t="shared" si="37"/>
        <v>0.12836421884873689</v>
      </c>
      <c r="K57" s="50">
        <f t="shared" si="37"/>
        <v>0.20936915720282939</v>
      </c>
      <c r="L57" s="50">
        <f t="shared" si="37"/>
        <v>0.34481485226927977</v>
      </c>
      <c r="M57" s="50">
        <f t="shared" si="37"/>
        <v>0.39246700983091865</v>
      </c>
      <c r="N57" s="50">
        <f t="shared" si="37"/>
        <v>0.35661498990819263</v>
      </c>
      <c r="O57" s="50">
        <f t="shared" si="37"/>
        <v>0.30541946250260099</v>
      </c>
      <c r="P57" s="50">
        <f t="shared" si="37"/>
        <v>0.29946737350256653</v>
      </c>
      <c r="Q57" s="50">
        <f t="shared" si="37"/>
        <v>0.347625222464721</v>
      </c>
      <c r="R57" s="37">
        <f t="shared" si="37"/>
        <v>0.51166447519096991</v>
      </c>
      <c r="S57" s="37">
        <f t="shared" si="37"/>
        <v>0.50632952594817193</v>
      </c>
      <c r="T57" s="37">
        <f t="shared" ref="T57" si="38">T13/T$83*100</f>
        <v>0.49273616981246371</v>
      </c>
      <c r="U57" s="19">
        <f t="shared" si="37"/>
        <v>0.50056633296158348</v>
      </c>
      <c r="V57" s="19">
        <f t="shared" ref="V57" si="39">V13/V$83*100</f>
        <v>0.11541461066802758</v>
      </c>
    </row>
    <row r="58" spans="2:22" ht="18" customHeight="1">
      <c r="B58" s="35" t="s">
        <v>76</v>
      </c>
      <c r="C58" s="49">
        <f t="shared" ref="C58:U58" si="40">C14/C$83*100</f>
        <v>0</v>
      </c>
      <c r="D58" s="50">
        <f t="shared" si="40"/>
        <v>1.3026632135235982E-2</v>
      </c>
      <c r="E58" s="50">
        <f t="shared" si="40"/>
        <v>0.51167899407699979</v>
      </c>
      <c r="F58" s="50">
        <f t="shared" si="40"/>
        <v>0.51183425715556385</v>
      </c>
      <c r="G58" s="50">
        <f t="shared" si="40"/>
        <v>0.49253869452473298</v>
      </c>
      <c r="H58" s="50">
        <f t="shared" si="40"/>
        <v>0.45561238808001087</v>
      </c>
      <c r="I58" s="50">
        <f t="shared" si="40"/>
        <v>0.47437826135054678</v>
      </c>
      <c r="J58" s="50">
        <f t="shared" si="40"/>
        <v>0.46027010742574986</v>
      </c>
      <c r="K58" s="50">
        <f t="shared" si="40"/>
        <v>0.60416225373035581</v>
      </c>
      <c r="L58" s="50">
        <f t="shared" si="40"/>
        <v>0.6283512540322993</v>
      </c>
      <c r="M58" s="50">
        <f t="shared" si="40"/>
        <v>0.60401931491463545</v>
      </c>
      <c r="N58" s="50">
        <f t="shared" si="40"/>
        <v>0.55323514650622319</v>
      </c>
      <c r="O58" s="50">
        <f t="shared" si="40"/>
        <v>0.5428989066288229</v>
      </c>
      <c r="P58" s="50">
        <f t="shared" si="40"/>
        <v>0.57269299780455252</v>
      </c>
      <c r="Q58" s="50">
        <f t="shared" si="40"/>
        <v>0.53316375527973336</v>
      </c>
      <c r="R58" s="37">
        <f t="shared" si="40"/>
        <v>0.56501772449637855</v>
      </c>
      <c r="S58" s="37">
        <f t="shared" si="40"/>
        <v>0.8091119830538156</v>
      </c>
      <c r="T58" s="37">
        <f t="shared" ref="T58" si="41">T14/T$83*100</f>
        <v>1.0478421892757412</v>
      </c>
      <c r="U58" s="19">
        <f t="shared" si="40"/>
        <v>1.0373921656188336</v>
      </c>
      <c r="V58" s="19">
        <f t="shared" ref="V58" si="42">V14/V$83*100</f>
        <v>0.67145275223787193</v>
      </c>
    </row>
    <row r="59" spans="2:22" ht="18" customHeight="1">
      <c r="B59" s="17" t="s">
        <v>77</v>
      </c>
      <c r="C59" s="49"/>
      <c r="D59" s="50">
        <f t="shared" ref="D59:U59" si="43">D15/D$83*100</f>
        <v>1.3026632135235982E-2</v>
      </c>
      <c r="E59" s="50">
        <f t="shared" si="43"/>
        <v>0.51167899407699979</v>
      </c>
      <c r="F59" s="50">
        <f t="shared" si="43"/>
        <v>0.50730386616016898</v>
      </c>
      <c r="G59" s="50">
        <f t="shared" si="43"/>
        <v>0.48889565684333697</v>
      </c>
      <c r="H59" s="50">
        <f t="shared" si="43"/>
        <v>0.45153020002721456</v>
      </c>
      <c r="I59" s="50">
        <f t="shared" si="43"/>
        <v>0.4312529648641335</v>
      </c>
      <c r="J59" s="50">
        <f t="shared" si="43"/>
        <v>0.41324378738225048</v>
      </c>
      <c r="K59" s="50">
        <f t="shared" si="43"/>
        <v>0.36309778955672717</v>
      </c>
      <c r="L59" s="50">
        <f t="shared" si="43"/>
        <v>0.38689620614466164</v>
      </c>
      <c r="M59" s="50">
        <f t="shared" si="43"/>
        <v>0.37400422378241016</v>
      </c>
      <c r="N59" s="50">
        <f t="shared" si="43"/>
        <v>0.33988733855326769</v>
      </c>
      <c r="O59" s="50">
        <f t="shared" si="43"/>
        <v>0.33284161800978679</v>
      </c>
      <c r="P59" s="50">
        <f t="shared" si="43"/>
        <v>0.32783734898340056</v>
      </c>
      <c r="Q59" s="50">
        <f t="shared" si="43"/>
        <v>0.32556102781024782</v>
      </c>
      <c r="R59" s="37">
        <f t="shared" si="43"/>
        <v>0.3397179509638949</v>
      </c>
      <c r="S59" s="37">
        <f t="shared" si="43"/>
        <v>0.35420821011413794</v>
      </c>
      <c r="T59" s="37">
        <f t="shared" ref="T59" si="44">T15/T$83*100</f>
        <v>0.35702500841424312</v>
      </c>
      <c r="U59" s="19">
        <f t="shared" si="43"/>
        <v>0.35624572321231895</v>
      </c>
      <c r="V59" s="19">
        <f t="shared" ref="V59" si="45">V15/V$83*100</f>
        <v>0.1796543696521101</v>
      </c>
    </row>
    <row r="60" spans="2:22" ht="18" customHeight="1">
      <c r="B60" s="17" t="s">
        <v>78</v>
      </c>
      <c r="C60" s="49"/>
      <c r="D60" s="50"/>
      <c r="E60" s="50"/>
      <c r="F60" s="50">
        <f t="shared" ref="F60:U60" si="46">F16/F$83*100</f>
        <v>4.5303909953948573E-3</v>
      </c>
      <c r="G60" s="50">
        <f t="shared" si="46"/>
        <v>3.643037681395954E-3</v>
      </c>
      <c r="H60" s="50">
        <f t="shared" si="46"/>
        <v>4.0821880527962991E-3</v>
      </c>
      <c r="I60" s="50">
        <f t="shared" si="46"/>
        <v>4.3750300783317883E-3</v>
      </c>
      <c r="J60" s="50">
        <f t="shared" si="46"/>
        <v>4.1148030038061926E-3</v>
      </c>
      <c r="K60" s="50">
        <f t="shared" si="46"/>
        <v>4.447683840841858E-3</v>
      </c>
      <c r="L60" s="50">
        <f t="shared" si="46"/>
        <v>3.9769066710905023E-3</v>
      </c>
      <c r="M60" s="50">
        <f t="shared" si="46"/>
        <v>2.515188704200799E-3</v>
      </c>
      <c r="N60" s="50">
        <f t="shared" si="46"/>
        <v>2.7065961078260562E-3</v>
      </c>
      <c r="O60" s="50">
        <f t="shared" si="46"/>
        <v>4.0557297596809146E-3</v>
      </c>
      <c r="P60" s="50">
        <f t="shared" si="46"/>
        <v>2.5756605896241004E-3</v>
      </c>
      <c r="Q60" s="50">
        <f t="shared" si="46"/>
        <v>4.1763860973989386E-3</v>
      </c>
      <c r="R60" s="37">
        <f t="shared" si="46"/>
        <v>3.6676682634873606E-3</v>
      </c>
      <c r="S60" s="37">
        <f t="shared" si="46"/>
        <v>3.199194174407585E-3</v>
      </c>
      <c r="T60" s="37">
        <f t="shared" ref="T60" si="47">T16/T$83*100</f>
        <v>3.8877792696316621E-3</v>
      </c>
      <c r="U60" s="19">
        <f t="shared" si="46"/>
        <v>4.4645881289207415E-3</v>
      </c>
      <c r="V60" s="19">
        <f t="shared" ref="V60" si="48">V16/V$83*100</f>
        <v>1.7215230194414538E-3</v>
      </c>
    </row>
    <row r="61" spans="2:22" ht="18" customHeight="1">
      <c r="B61" s="17" t="s">
        <v>79</v>
      </c>
      <c r="C61" s="49"/>
      <c r="D61" s="50"/>
      <c r="E61" s="50"/>
      <c r="F61" s="50"/>
      <c r="G61" s="50">
        <f t="shared" ref="G61:U61" si="49">G17/G$83*100</f>
        <v>0</v>
      </c>
      <c r="H61" s="50">
        <f t="shared" si="49"/>
        <v>0</v>
      </c>
      <c r="I61" s="50">
        <f t="shared" si="49"/>
        <v>3.875026640808156E-2</v>
      </c>
      <c r="J61" s="50">
        <f t="shared" si="49"/>
        <v>4.2911517039693155E-2</v>
      </c>
      <c r="K61" s="50">
        <f t="shared" si="49"/>
        <v>5.5040087530417989E-2</v>
      </c>
      <c r="L61" s="50">
        <f t="shared" si="49"/>
        <v>4.3745973381995526E-2</v>
      </c>
      <c r="M61" s="50">
        <f t="shared" si="49"/>
        <v>4.0091240638511008E-2</v>
      </c>
      <c r="N61" s="50">
        <f t="shared" si="49"/>
        <v>4.0327789001852715E-2</v>
      </c>
      <c r="O61" s="50">
        <f t="shared" si="49"/>
        <v>3.9241979178112937E-2</v>
      </c>
      <c r="P61" s="50">
        <f t="shared" si="49"/>
        <v>4.0838123347048068E-2</v>
      </c>
      <c r="Q61" s="50">
        <f t="shared" si="49"/>
        <v>4.003576161607756E-2</v>
      </c>
      <c r="R61" s="37">
        <f t="shared" si="49"/>
        <v>4.3067491245076424E-2</v>
      </c>
      <c r="S61" s="37">
        <f t="shared" si="49"/>
        <v>4.3506579211571035E-2</v>
      </c>
      <c r="T61" s="37">
        <f t="shared" ref="T61" si="50">T17/T$83*100</f>
        <v>4.4650236340945532E-2</v>
      </c>
      <c r="U61" s="19">
        <f t="shared" si="49"/>
        <v>4.5095112703180042E-2</v>
      </c>
      <c r="V61" s="19">
        <f t="shared" ref="V61" si="51">V17/V$83*100</f>
        <v>2.3161086098932006E-2</v>
      </c>
    </row>
    <row r="62" spans="2:22" ht="18" customHeight="1">
      <c r="B62" s="17" t="s">
        <v>80</v>
      </c>
      <c r="C62" s="49"/>
      <c r="D62" s="50"/>
      <c r="E62" s="50"/>
      <c r="F62" s="50"/>
      <c r="G62" s="50"/>
      <c r="H62" s="50"/>
      <c r="I62" s="50"/>
      <c r="J62" s="50"/>
      <c r="K62" s="50">
        <f t="shared" ref="K62:U62" si="52">K18/K$83*100</f>
        <v>0.18157669280236882</v>
      </c>
      <c r="L62" s="50">
        <f t="shared" si="52"/>
        <v>0.19373216783455161</v>
      </c>
      <c r="M62" s="50">
        <f t="shared" si="52"/>
        <v>0.18740866178951343</v>
      </c>
      <c r="N62" s="50">
        <f t="shared" si="52"/>
        <v>0.17031342284327675</v>
      </c>
      <c r="O62" s="50">
        <f t="shared" si="52"/>
        <v>0.1667595796812423</v>
      </c>
      <c r="P62" s="50">
        <f t="shared" si="52"/>
        <v>0.16458087746055652</v>
      </c>
      <c r="Q62" s="50">
        <f t="shared" si="52"/>
        <v>0.16339057975600912</v>
      </c>
      <c r="R62" s="37">
        <f t="shared" si="52"/>
        <v>0.17023766771737128</v>
      </c>
      <c r="S62" s="37">
        <f t="shared" si="52"/>
        <v>0.17807075218254784</v>
      </c>
      <c r="T62" s="37">
        <f t="shared" ref="T62" si="53">T18/T$83*100</f>
        <v>0.17942734017250503</v>
      </c>
      <c r="U62" s="19">
        <f t="shared" si="52"/>
        <v>0.17895344257614287</v>
      </c>
      <c r="V62" s="19">
        <f t="shared" ref="V62" si="54">V18/V$83*100</f>
        <v>9.0369824546372282E-2</v>
      </c>
    </row>
    <row r="63" spans="2:22" ht="18" customHeight="1">
      <c r="B63" s="17" t="s">
        <v>48</v>
      </c>
      <c r="C63" s="49"/>
      <c r="D63" s="50"/>
      <c r="E63" s="50"/>
      <c r="F63" s="50"/>
      <c r="G63" s="50"/>
      <c r="H63" s="50"/>
      <c r="I63" s="50"/>
      <c r="J63" s="50"/>
      <c r="K63" s="50"/>
      <c r="L63" s="50"/>
      <c r="M63" s="50"/>
      <c r="N63" s="50"/>
      <c r="O63" s="50"/>
      <c r="P63" s="50">
        <f>P19/P$83*100</f>
        <v>3.6860987423923283E-2</v>
      </c>
      <c r="Q63" s="50"/>
      <c r="R63" s="37"/>
      <c r="S63" s="37"/>
      <c r="T63" s="37"/>
      <c r="U63" s="19"/>
      <c r="V63" s="19"/>
    </row>
    <row r="64" spans="2:22" ht="18" customHeight="1">
      <c r="B64" s="17" t="s">
        <v>624</v>
      </c>
      <c r="C64" s="49"/>
      <c r="D64" s="50"/>
      <c r="E64" s="50"/>
      <c r="F64" s="50"/>
      <c r="G64" s="50"/>
      <c r="H64" s="50"/>
      <c r="I64" s="50"/>
      <c r="J64" s="50"/>
      <c r="K64" s="50"/>
      <c r="L64" s="50"/>
      <c r="M64" s="50"/>
      <c r="N64" s="50"/>
      <c r="O64" s="50"/>
      <c r="P64" s="50"/>
      <c r="Q64" s="50"/>
      <c r="R64" s="37">
        <f>R20/R$83*100</f>
        <v>8.3269463065486129E-3</v>
      </c>
      <c r="S64" s="37">
        <f>S20/S$83*100</f>
        <v>0.20095531965367386</v>
      </c>
      <c r="T64" s="37">
        <f>T20/T$83*100</f>
        <v>0.19572864092021933</v>
      </c>
      <c r="U64" s="19">
        <f>U20/U$83*100</f>
        <v>0.18560315409253736</v>
      </c>
      <c r="V64" s="19">
        <f>V20/V$83*100</f>
        <v>0.10300048903507956</v>
      </c>
    </row>
    <row r="65" spans="1:22" ht="18" customHeight="1">
      <c r="B65" s="17" t="s">
        <v>625</v>
      </c>
      <c r="C65" s="49"/>
      <c r="D65" s="50"/>
      <c r="E65" s="50"/>
      <c r="F65" s="50"/>
      <c r="G65" s="50"/>
      <c r="H65" s="50"/>
      <c r="I65" s="50"/>
      <c r="J65" s="50"/>
      <c r="K65" s="50"/>
      <c r="L65" s="50"/>
      <c r="M65" s="50"/>
      <c r="N65" s="50"/>
      <c r="O65" s="50"/>
      <c r="P65" s="50"/>
      <c r="Q65" s="50"/>
      <c r="R65" s="37"/>
      <c r="S65" s="37">
        <f t="shared" ref="S65:U74" si="55">S21/S$83*100</f>
        <v>2.917192771747748E-2</v>
      </c>
      <c r="T65" s="37">
        <f t="shared" ref="T65" si="56">T21/T$83*100</f>
        <v>0.26712318415819652</v>
      </c>
      <c r="U65" s="19">
        <f t="shared" si="55"/>
        <v>0.26703014490573346</v>
      </c>
      <c r="V65" s="19">
        <f t="shared" ref="V65" si="57">V21/V$83*100</f>
        <v>0.27354545988593648</v>
      </c>
    </row>
    <row r="66" spans="1:22" ht="24.75" customHeight="1">
      <c r="B66" s="15" t="s">
        <v>81</v>
      </c>
      <c r="C66" s="33">
        <f t="shared" ref="C66:Q66" si="58">C22/C$83*100</f>
        <v>0.87908880239424403</v>
      </c>
      <c r="D66" s="34">
        <f t="shared" si="58"/>
        <v>0.68471235160834121</v>
      </c>
      <c r="E66" s="34">
        <f t="shared" si="58"/>
        <v>0.94360555234878818</v>
      </c>
      <c r="F66" s="34">
        <f t="shared" si="58"/>
        <v>0.93477067538313907</v>
      </c>
      <c r="G66" s="34">
        <f t="shared" si="58"/>
        <v>1.498017094590016</v>
      </c>
      <c r="H66" s="34">
        <f t="shared" si="58"/>
        <v>0.78446047081235548</v>
      </c>
      <c r="I66" s="34">
        <f t="shared" si="58"/>
        <v>0.92250634223110284</v>
      </c>
      <c r="J66" s="34">
        <f t="shared" si="58"/>
        <v>0.87621790821050161</v>
      </c>
      <c r="K66" s="34">
        <f t="shared" si="58"/>
        <v>0.87035613160474112</v>
      </c>
      <c r="L66" s="34">
        <f t="shared" si="58"/>
        <v>0.75424875664853575</v>
      </c>
      <c r="M66" s="34">
        <f t="shared" si="58"/>
        <v>0.97241005446684525</v>
      </c>
      <c r="N66" s="34">
        <f t="shared" si="58"/>
        <v>0.67302051195585844</v>
      </c>
      <c r="O66" s="34">
        <f t="shared" si="58"/>
        <v>0.66428176142035855</v>
      </c>
      <c r="P66" s="34">
        <f t="shared" si="58"/>
        <v>0.65744529829529952</v>
      </c>
      <c r="Q66" s="34">
        <f t="shared" si="58"/>
        <v>0.65809526279053177</v>
      </c>
      <c r="R66" s="34">
        <f t="shared" ref="R66:R74" si="59">R22/R$83*100</f>
        <v>0.67671395002355117</v>
      </c>
      <c r="S66" s="34">
        <f t="shared" si="55"/>
        <v>0.71888772838245751</v>
      </c>
      <c r="T66" s="34">
        <f t="shared" ref="T66" si="60">T22/T$83*100</f>
        <v>1.3231627974560303</v>
      </c>
      <c r="U66" s="22">
        <f t="shared" si="55"/>
        <v>1.0493739178890535</v>
      </c>
      <c r="V66" s="22">
        <f t="shared" ref="V66" si="61">V22/V$83*100</f>
        <v>0.48834314222174202</v>
      </c>
    </row>
    <row r="67" spans="1:22" ht="18" customHeight="1">
      <c r="B67" s="35" t="s">
        <v>82</v>
      </c>
      <c r="C67" s="49">
        <f t="shared" ref="C67:Q67" si="62">C23/C$83*100</f>
        <v>0.10521912306649253</v>
      </c>
      <c r="D67" s="50">
        <f t="shared" si="62"/>
        <v>9.3628918472008604E-2</v>
      </c>
      <c r="E67" s="50">
        <f t="shared" si="62"/>
        <v>0.22030623356093046</v>
      </c>
      <c r="F67" s="50">
        <f t="shared" si="62"/>
        <v>0.14950290284803031</v>
      </c>
      <c r="G67" s="50">
        <f t="shared" si="62"/>
        <v>0.71476399308988614</v>
      </c>
      <c r="H67" s="50">
        <f t="shared" si="62"/>
        <v>6.7356102871138926E-2</v>
      </c>
      <c r="I67" s="50">
        <f t="shared" si="62"/>
        <v>0.19187631914969416</v>
      </c>
      <c r="J67" s="50">
        <f t="shared" si="62"/>
        <v>6.7953032462856555E-2</v>
      </c>
      <c r="K67" s="50">
        <f t="shared" si="62"/>
        <v>6.2601150059849148E-2</v>
      </c>
      <c r="L67" s="50">
        <f t="shared" si="62"/>
        <v>1.8748274306569508E-2</v>
      </c>
      <c r="M67" s="50">
        <f t="shared" si="62"/>
        <v>2.2283073105260651E-2</v>
      </c>
      <c r="N67" s="50">
        <f t="shared" si="62"/>
        <v>1.6841042448695463E-2</v>
      </c>
      <c r="O67" s="50">
        <f t="shared" si="62"/>
        <v>1.0798394054095757E-2</v>
      </c>
      <c r="P67" s="50">
        <f t="shared" si="62"/>
        <v>1.2434181727400715E-2</v>
      </c>
      <c r="Q67" s="50">
        <f t="shared" si="62"/>
        <v>1.2489219185897514E-2</v>
      </c>
      <c r="R67" s="37">
        <f t="shared" si="59"/>
        <v>1.0500472945067549E-2</v>
      </c>
      <c r="S67" s="37">
        <f t="shared" si="55"/>
        <v>6.8054406475750919E-3</v>
      </c>
      <c r="T67" s="37">
        <f t="shared" ref="T67" si="63">T23/T$83*100</f>
        <v>7.7695584116957784E-3</v>
      </c>
      <c r="U67" s="19">
        <f t="shared" si="55"/>
        <v>1.7813237126078504E-2</v>
      </c>
      <c r="V67" s="19">
        <f t="shared" ref="V67" si="64">V23/V$83*100</f>
        <v>7.6399993667278831E-3</v>
      </c>
    </row>
    <row r="68" spans="1:22" ht="18" customHeight="1">
      <c r="B68" s="35" t="s">
        <v>83</v>
      </c>
      <c r="C68" s="49">
        <f t="shared" ref="C68:Q68" si="65">C24/C$83*100</f>
        <v>2.6304780766623133E-2</v>
      </c>
      <c r="D68" s="50">
        <f t="shared" si="65"/>
        <v>9.7699741014269856E-3</v>
      </c>
      <c r="E68" s="50">
        <f t="shared" si="65"/>
        <v>9.4755369273518478E-3</v>
      </c>
      <c r="F68" s="50">
        <f t="shared" si="65"/>
        <v>4.1528584124452865E-2</v>
      </c>
      <c r="G68" s="50">
        <f t="shared" si="65"/>
        <v>4.517366724930983E-2</v>
      </c>
      <c r="H68" s="50">
        <f t="shared" si="65"/>
        <v>7.0077561573003141E-2</v>
      </c>
      <c r="I68" s="50">
        <f t="shared" si="65"/>
        <v>6.3750438284263203E-2</v>
      </c>
      <c r="J68" s="50">
        <f t="shared" si="65"/>
        <v>7.0774611665466503E-2</v>
      </c>
      <c r="K68" s="50">
        <f t="shared" si="65"/>
        <v>2.9410309397566784E-2</v>
      </c>
      <c r="L68" s="50">
        <f t="shared" si="65"/>
        <v>0.14373676968369958</v>
      </c>
      <c r="M68" s="50">
        <f t="shared" si="65"/>
        <v>0.13392015468410534</v>
      </c>
      <c r="N68" s="50">
        <f t="shared" si="65"/>
        <v>1.6200136266514429E-2</v>
      </c>
      <c r="O68" s="50">
        <f t="shared" si="65"/>
        <v>3.6217751909530235E-2</v>
      </c>
      <c r="P68" s="50">
        <f t="shared" si="65"/>
        <v>4.4463746603149654E-2</v>
      </c>
      <c r="Q68" s="50">
        <f t="shared" si="65"/>
        <v>1.4516738730261446E-2</v>
      </c>
      <c r="R68" s="37">
        <f t="shared" si="59"/>
        <v>2.3831846162510498E-3</v>
      </c>
      <c r="S68" s="37">
        <f t="shared" si="55"/>
        <v>1.0002161164290467E-2</v>
      </c>
      <c r="T68" s="37">
        <f t="shared" ref="T68" si="66">T24/T$83*100</f>
        <v>0.11174723011942006</v>
      </c>
      <c r="U68" s="19">
        <f t="shared" si="55"/>
        <v>6.8718816829604706E-2</v>
      </c>
      <c r="V68" s="19">
        <f t="shared" ref="V68" si="67">V24/V$83*100</f>
        <v>6.3266724157841209E-2</v>
      </c>
    </row>
    <row r="69" spans="1:22" ht="18" customHeight="1">
      <c r="B69" s="35" t="s">
        <v>84</v>
      </c>
      <c r="C69" s="49">
        <f t="shared" ref="C69:Q69" si="68">C25/C$83*100</f>
        <v>1.103103709568067E-2</v>
      </c>
      <c r="D69" s="50">
        <f t="shared" si="68"/>
        <v>1.6283290169044977E-3</v>
      </c>
      <c r="E69" s="50">
        <f t="shared" si="68"/>
        <v>1.2634049236469132E-2</v>
      </c>
      <c r="F69" s="50">
        <f t="shared" si="68"/>
        <v>1.9631694313377718E-2</v>
      </c>
      <c r="G69" s="50">
        <f t="shared" si="68"/>
        <v>2.9144301451167632E-2</v>
      </c>
      <c r="H69" s="50">
        <f t="shared" si="68"/>
        <v>3.4018233773302486E-2</v>
      </c>
      <c r="I69" s="50">
        <f t="shared" si="68"/>
        <v>3.6875253517367937E-2</v>
      </c>
      <c r="J69" s="50">
        <f t="shared" si="68"/>
        <v>4.9847899246109315E-2</v>
      </c>
      <c r="K69" s="50">
        <f t="shared" si="68"/>
        <v>6.1155652811575541E-2</v>
      </c>
      <c r="L69" s="50">
        <f t="shared" si="68"/>
        <v>4.5450361955320026E-2</v>
      </c>
      <c r="M69" s="50">
        <f t="shared" si="68"/>
        <v>0.18164225636277698</v>
      </c>
      <c r="N69" s="50">
        <f t="shared" si="68"/>
        <v>5.4442515152501161E-2</v>
      </c>
      <c r="O69" s="50">
        <f t="shared" si="68"/>
        <v>3.372497172235301E-2</v>
      </c>
      <c r="P69" s="50">
        <f t="shared" si="68"/>
        <v>4.6253135515684621E-2</v>
      </c>
      <c r="Q69" s="50">
        <f t="shared" si="68"/>
        <v>5.111014164712193E-2</v>
      </c>
      <c r="R69" s="37">
        <f t="shared" si="59"/>
        <v>4.9367009638949001E-2</v>
      </c>
      <c r="S69" s="37">
        <f t="shared" si="55"/>
        <v>4.2230719782264801E-2</v>
      </c>
      <c r="T69" s="37">
        <f t="shared" ref="T69" si="69">T25/T$83*100</f>
        <v>3.4225964769694438E-2</v>
      </c>
      <c r="U69" s="19">
        <f t="shared" si="55"/>
        <v>8.2758337279818739E-2</v>
      </c>
      <c r="V69" s="19">
        <f t="shared" ref="V69" si="70">V25/V$83*100</f>
        <v>2.8686339091142762E-2</v>
      </c>
    </row>
    <row r="70" spans="1:22" ht="18" customHeight="1">
      <c r="B70" s="35" t="s">
        <v>85</v>
      </c>
      <c r="C70" s="49">
        <f t="shared" ref="C70:Q70" si="71">C26/C$83*100</f>
        <v>0.20195283298246153</v>
      </c>
      <c r="D70" s="50">
        <f t="shared" si="71"/>
        <v>0.22308107531591614</v>
      </c>
      <c r="E70" s="50">
        <f t="shared" si="71"/>
        <v>0.26926317435224834</v>
      </c>
      <c r="F70" s="50">
        <f t="shared" si="71"/>
        <v>0.20613279029046602</v>
      </c>
      <c r="G70" s="50">
        <f t="shared" si="71"/>
        <v>0.19235238957770634</v>
      </c>
      <c r="H70" s="50">
        <f t="shared" si="71"/>
        <v>0.19458429718329026</v>
      </c>
      <c r="I70" s="50">
        <f t="shared" si="71"/>
        <v>0.19125131485278965</v>
      </c>
      <c r="J70" s="50">
        <f t="shared" si="71"/>
        <v>0.18240333886872309</v>
      </c>
      <c r="K70" s="50">
        <f t="shared" si="71"/>
        <v>0.16478668630319082</v>
      </c>
      <c r="L70" s="50">
        <f t="shared" si="71"/>
        <v>0.16248504399026911</v>
      </c>
      <c r="M70" s="50">
        <f t="shared" si="71"/>
        <v>0.16618752021908162</v>
      </c>
      <c r="N70" s="50">
        <f t="shared" si="71"/>
        <v>0.21232235806146588</v>
      </c>
      <c r="O70" s="50">
        <f t="shared" si="71"/>
        <v>0.21015177252567663</v>
      </c>
      <c r="P70" s="50">
        <f t="shared" si="71"/>
        <v>0.16184076779731307</v>
      </c>
      <c r="Q70" s="50">
        <f t="shared" si="71"/>
        <v>0.20061520426034604</v>
      </c>
      <c r="R70" s="37">
        <f t="shared" si="59"/>
        <v>0.21664696751974546</v>
      </c>
      <c r="S70" s="37">
        <f t="shared" si="55"/>
        <v>0.22027433347782222</v>
      </c>
      <c r="T70" s="37">
        <f t="shared" ref="T70" si="72">T26/T$83*100</f>
        <v>0.18112949466001441</v>
      </c>
      <c r="U70" s="19">
        <f t="shared" si="55"/>
        <v>0.20403873098683115</v>
      </c>
      <c r="V70" s="19">
        <f t="shared" ref="V70" si="73">V26/V$83*100</f>
        <v>9.2340982838325619E-2</v>
      </c>
    </row>
    <row r="71" spans="1:22" ht="18" customHeight="1">
      <c r="B71" s="35" t="s">
        <v>86</v>
      </c>
      <c r="C71" s="49">
        <f t="shared" ref="C71:Q71" si="74">C27/C$83*100</f>
        <v>9.3339544655759513E-2</v>
      </c>
      <c r="D71" s="50">
        <f t="shared" si="74"/>
        <v>5.1292364032491676E-2</v>
      </c>
      <c r="E71" s="50">
        <f t="shared" si="74"/>
        <v>6.9487270800580217E-2</v>
      </c>
      <c r="F71" s="50">
        <f t="shared" si="74"/>
        <v>8.6832494078401448E-2</v>
      </c>
      <c r="G71" s="50">
        <f t="shared" si="74"/>
        <v>7.0674931019081497E-2</v>
      </c>
      <c r="H71" s="50">
        <f t="shared" si="74"/>
        <v>5.9191726765546328E-2</v>
      </c>
      <c r="I71" s="50">
        <f t="shared" si="74"/>
        <v>8.6250592972826695E-2</v>
      </c>
      <c r="J71" s="50">
        <f t="shared" si="74"/>
        <v>0.12215086631298956</v>
      </c>
      <c r="K71" s="50">
        <f t="shared" si="74"/>
        <v>0.12425716730351941</v>
      </c>
      <c r="L71" s="50">
        <f t="shared" si="74"/>
        <v>0.10351319935324135</v>
      </c>
      <c r="M71" s="50">
        <f t="shared" si="74"/>
        <v>0.14295987124835757</v>
      </c>
      <c r="N71" s="50">
        <f t="shared" si="74"/>
        <v>0.14912407845086076</v>
      </c>
      <c r="O71" s="50">
        <f t="shared" si="74"/>
        <v>0.15327401477124211</v>
      </c>
      <c r="P71" s="50">
        <f t="shared" si="74"/>
        <v>0.13334256940124489</v>
      </c>
      <c r="Q71" s="50">
        <f t="shared" si="74"/>
        <v>0.13207143829610946</v>
      </c>
      <c r="R71" s="37">
        <f t="shared" si="59"/>
        <v>0.14096791892223989</v>
      </c>
      <c r="S71" s="37">
        <f t="shared" si="55"/>
        <v>0.12608790570217657</v>
      </c>
      <c r="T71" s="37">
        <f t="shared" ref="T71" si="75">T27/T$83*100</f>
        <v>0.14821305770185059</v>
      </c>
      <c r="U71" s="19">
        <f t="shared" si="55"/>
        <v>0.1034833507311296</v>
      </c>
      <c r="V71" s="19">
        <f t="shared" ref="V71" si="76">V27/V$83*100</f>
        <v>4.7799646410650889E-2</v>
      </c>
    </row>
    <row r="72" spans="1:22" ht="18" customHeight="1">
      <c r="B72" s="35" t="s">
        <v>87</v>
      </c>
      <c r="C72" s="49">
        <f t="shared" ref="C72:Q72" si="77">C28/C$83*100</f>
        <v>0.44124148382722683</v>
      </c>
      <c r="D72" s="50">
        <f t="shared" si="77"/>
        <v>0.30531169066959329</v>
      </c>
      <c r="E72" s="50">
        <f t="shared" si="77"/>
        <v>0.36243928747120818</v>
      </c>
      <c r="F72" s="50">
        <f t="shared" si="77"/>
        <v>0.43114220972841066</v>
      </c>
      <c r="G72" s="50">
        <f t="shared" si="77"/>
        <v>0.44590781220286474</v>
      </c>
      <c r="H72" s="50">
        <f t="shared" si="77"/>
        <v>0.35923254864607429</v>
      </c>
      <c r="I72" s="50">
        <f t="shared" si="77"/>
        <v>0.35250242345416127</v>
      </c>
      <c r="J72" s="50">
        <f t="shared" si="77"/>
        <v>0.38308815965435655</v>
      </c>
      <c r="K72" s="50">
        <f t="shared" si="77"/>
        <v>0.42814516572903932</v>
      </c>
      <c r="L72" s="50">
        <f t="shared" si="77"/>
        <v>0.28031510735943627</v>
      </c>
      <c r="M72" s="50">
        <f t="shared" si="77"/>
        <v>0.32541717884726312</v>
      </c>
      <c r="N72" s="50">
        <f t="shared" si="77"/>
        <v>0.2240903815758207</v>
      </c>
      <c r="O72" s="50">
        <f t="shared" si="77"/>
        <v>0.2201148564374607</v>
      </c>
      <c r="P72" s="50">
        <f t="shared" si="77"/>
        <v>0.25911089725050662</v>
      </c>
      <c r="Q72" s="50">
        <f t="shared" si="77"/>
        <v>0.24729252067079555</v>
      </c>
      <c r="R72" s="37">
        <f t="shared" si="59"/>
        <v>0.25684839638129819</v>
      </c>
      <c r="S72" s="37">
        <f t="shared" si="55"/>
        <v>0.31348716760832834</v>
      </c>
      <c r="T72" s="37">
        <f t="shared" ref="T72" si="78">T28/T$83*100</f>
        <v>0.840077491793355</v>
      </c>
      <c r="U72" s="19">
        <f t="shared" si="55"/>
        <v>0.57256144493559102</v>
      </c>
      <c r="V72" s="19">
        <f t="shared" ref="V72" si="79">V28/V$83*100</f>
        <v>0.24860945035705373</v>
      </c>
    </row>
    <row r="73" spans="1:22" ht="24.75" customHeight="1">
      <c r="B73" s="25" t="s">
        <v>88</v>
      </c>
      <c r="C73" s="33">
        <f t="shared" ref="C73:Q73" si="80">C29/C$83*100</f>
        <v>0.66440784968599731</v>
      </c>
      <c r="D73" s="34">
        <f t="shared" si="80"/>
        <v>0.26541762975543315</v>
      </c>
      <c r="E73" s="34">
        <f t="shared" si="80"/>
        <v>0.165032268151378</v>
      </c>
      <c r="F73" s="34">
        <f t="shared" si="80"/>
        <v>0.66823267182074153</v>
      </c>
      <c r="G73" s="34">
        <f t="shared" si="80"/>
        <v>0.27614225624981331</v>
      </c>
      <c r="H73" s="34">
        <f t="shared" si="80"/>
        <v>4.6095006599537351E-2</v>
      </c>
      <c r="I73" s="34">
        <f t="shared" si="80"/>
        <v>5.6875391018313251E-2</v>
      </c>
      <c r="J73" s="34">
        <f t="shared" si="80"/>
        <v>0.12915190970946552</v>
      </c>
      <c r="K73" s="34">
        <f t="shared" si="80"/>
        <v>0.16234046019072781</v>
      </c>
      <c r="L73" s="34">
        <f t="shared" si="80"/>
        <v>0.10794460964388505</v>
      </c>
      <c r="M73" s="34">
        <f t="shared" si="80"/>
        <v>9.1067177221063417E-2</v>
      </c>
      <c r="N73" s="34">
        <f t="shared" si="80"/>
        <v>0.21274634215121641</v>
      </c>
      <c r="O73" s="34">
        <f t="shared" si="80"/>
        <v>0.14100700668423252</v>
      </c>
      <c r="P73" s="34">
        <f t="shared" si="80"/>
        <v>0.11510017302564327</v>
      </c>
      <c r="Q73" s="34">
        <f t="shared" si="80"/>
        <v>6.2252093857207411E-2</v>
      </c>
      <c r="R73" s="34">
        <f t="shared" si="59"/>
        <v>0.11012121289823808</v>
      </c>
      <c r="S73" s="34">
        <f t="shared" si="55"/>
        <v>9.0821101253575467E-2</v>
      </c>
      <c r="T73" s="34">
        <f t="shared" ref="T73" si="81">T29/T$83*100</f>
        <v>6.8315180939322373E-2</v>
      </c>
      <c r="U73" s="22">
        <f t="shared" si="55"/>
        <v>4.8859531510607151E-2</v>
      </c>
      <c r="V73" s="22">
        <f t="shared" ref="V73" si="82">V29/V$83*100</f>
        <v>2.5752767250146202E-2</v>
      </c>
    </row>
    <row r="74" spans="1:22" ht="18" customHeight="1">
      <c r="B74" s="35" t="s">
        <v>89</v>
      </c>
      <c r="C74" s="49">
        <f t="shared" ref="C74:Q74" si="83">C30/C$83*100</f>
        <v>1.103103709568067E-2</v>
      </c>
      <c r="D74" s="50">
        <f t="shared" si="83"/>
        <v>4.0708225422612437E-3</v>
      </c>
      <c r="E74" s="50">
        <f t="shared" si="83"/>
        <v>1.8951073854703696E-2</v>
      </c>
      <c r="F74" s="50">
        <f t="shared" si="83"/>
        <v>3.0202606635965721E-3</v>
      </c>
      <c r="G74" s="50">
        <f t="shared" si="83"/>
        <v>7.286075362791908E-4</v>
      </c>
      <c r="H74" s="50">
        <f t="shared" si="83"/>
        <v>9.2693563750170078E-4</v>
      </c>
      <c r="I74" s="50">
        <f t="shared" si="83"/>
        <v>0</v>
      </c>
      <c r="J74" s="50">
        <f t="shared" si="83"/>
        <v>5.8782900054374182E-6</v>
      </c>
      <c r="K74" s="50">
        <f t="shared" si="83"/>
        <v>5.0036443209470897E-4</v>
      </c>
      <c r="L74" s="50">
        <f t="shared" si="83"/>
        <v>0</v>
      </c>
      <c r="M74" s="50">
        <f t="shared" si="83"/>
        <v>1.0841330621555168E-3</v>
      </c>
      <c r="N74" s="50">
        <f t="shared" si="83"/>
        <v>8.0359775150391115E-4</v>
      </c>
      <c r="O74" s="50">
        <f t="shared" si="83"/>
        <v>8.2638997669052161E-4</v>
      </c>
      <c r="P74" s="50">
        <f t="shared" si="83"/>
        <v>4.7992447805825675E-5</v>
      </c>
      <c r="Q74" s="50">
        <f t="shared" si="83"/>
        <v>1.6300550557307047E-4</v>
      </c>
      <c r="R74" s="37">
        <f t="shared" si="59"/>
        <v>0</v>
      </c>
      <c r="S74" s="37">
        <f t="shared" si="55"/>
        <v>2.8774664021982184E-4</v>
      </c>
      <c r="T74" s="37">
        <f t="shared" ref="T74" si="84">T30/T$83*100</f>
        <v>0</v>
      </c>
      <c r="U74" s="19">
        <f t="shared" si="55"/>
        <v>0</v>
      </c>
      <c r="V74" s="19">
        <f t="shared" ref="V74" si="85">V30/V$83*100</f>
        <v>0</v>
      </c>
    </row>
    <row r="75" spans="1:22" ht="18" customHeight="1">
      <c r="A75" s="55"/>
      <c r="B75" s="35" t="s">
        <v>310</v>
      </c>
      <c r="C75" s="49">
        <f t="shared" ref="C75:P75" si="86">C31/C$83*100</f>
        <v>0</v>
      </c>
      <c r="D75" s="50">
        <f t="shared" si="86"/>
        <v>0</v>
      </c>
      <c r="E75" s="50">
        <f t="shared" si="86"/>
        <v>0</v>
      </c>
      <c r="F75" s="50">
        <f t="shared" si="86"/>
        <v>0.29221021920296836</v>
      </c>
      <c r="G75" s="50">
        <f t="shared" si="86"/>
        <v>9.3261764643736422E-2</v>
      </c>
      <c r="H75" s="50">
        <f t="shared" si="86"/>
        <v>0</v>
      </c>
      <c r="I75" s="50">
        <f t="shared" si="86"/>
        <v>0</v>
      </c>
      <c r="J75" s="50">
        <f t="shared" si="86"/>
        <v>0</v>
      </c>
      <c r="K75" s="50">
        <f t="shared" si="86"/>
        <v>0</v>
      </c>
      <c r="L75" s="50">
        <f t="shared" si="86"/>
        <v>0</v>
      </c>
      <c r="M75" s="50">
        <f t="shared" si="86"/>
        <v>0</v>
      </c>
      <c r="N75" s="50">
        <f t="shared" si="86"/>
        <v>0</v>
      </c>
      <c r="O75" s="50">
        <f t="shared" si="86"/>
        <v>0</v>
      </c>
      <c r="P75" s="50">
        <f t="shared" si="86"/>
        <v>0</v>
      </c>
      <c r="Q75" s="50"/>
      <c r="R75" s="37"/>
      <c r="S75" s="37"/>
      <c r="T75" s="37"/>
      <c r="U75" s="19"/>
      <c r="V75" s="19"/>
    </row>
    <row r="76" spans="1:22" ht="18" customHeight="1">
      <c r="B76" s="35" t="s">
        <v>311</v>
      </c>
      <c r="C76" s="49">
        <f t="shared" ref="C76:P76" si="87">C32/C$83*100</f>
        <v>0.65337681259031666</v>
      </c>
      <c r="D76" s="50">
        <f t="shared" si="87"/>
        <v>0.26134680721317188</v>
      </c>
      <c r="E76" s="50">
        <f t="shared" si="87"/>
        <v>0.14608119429667432</v>
      </c>
      <c r="F76" s="50">
        <f t="shared" si="87"/>
        <v>0.37300219195417661</v>
      </c>
      <c r="G76" s="50">
        <f t="shared" si="87"/>
        <v>0.17413720117072659</v>
      </c>
      <c r="H76" s="50">
        <f t="shared" si="87"/>
        <v>4.516807096203565E-2</v>
      </c>
      <c r="I76" s="50">
        <f t="shared" si="87"/>
        <v>5.6875391018313251E-2</v>
      </c>
      <c r="J76" s="50">
        <f t="shared" si="87"/>
        <v>0.12914603141946007</v>
      </c>
      <c r="K76" s="50">
        <f t="shared" si="87"/>
        <v>0.16184009575863309</v>
      </c>
      <c r="L76" s="50">
        <f t="shared" si="87"/>
        <v>0.10794460964388505</v>
      </c>
      <c r="M76" s="50">
        <f t="shared" si="87"/>
        <v>8.9983044158907899E-2</v>
      </c>
      <c r="N76" s="50">
        <f t="shared" si="87"/>
        <v>0.21194274439971253</v>
      </c>
      <c r="O76" s="50">
        <f t="shared" si="87"/>
        <v>0.14018061670754201</v>
      </c>
      <c r="P76" s="50">
        <f t="shared" si="87"/>
        <v>0.11505218057783745</v>
      </c>
      <c r="Q76" s="50">
        <f t="shared" ref="Q76:V76" si="88">Q32/Q$83*100</f>
        <v>6.2089088351634333E-2</v>
      </c>
      <c r="R76" s="37">
        <f t="shared" si="88"/>
        <v>0.11012121289823808</v>
      </c>
      <c r="S76" s="37">
        <f t="shared" si="88"/>
        <v>9.0533354613355654E-2</v>
      </c>
      <c r="T76" s="37">
        <f t="shared" si="88"/>
        <v>6.8315180939322373E-2</v>
      </c>
      <c r="U76" s="19">
        <f t="shared" si="88"/>
        <v>4.8859531510607151E-2</v>
      </c>
      <c r="V76" s="19">
        <f t="shared" si="88"/>
        <v>2.5752767250146202E-2</v>
      </c>
    </row>
    <row r="77" spans="1:22" ht="18" customHeight="1">
      <c r="A77" s="55"/>
      <c r="B77" s="35" t="s">
        <v>312</v>
      </c>
      <c r="C77" s="49">
        <v>0</v>
      </c>
      <c r="D77" s="50">
        <v>0</v>
      </c>
      <c r="E77" s="50">
        <v>0</v>
      </c>
      <c r="F77" s="50">
        <v>0</v>
      </c>
      <c r="G77" s="50">
        <v>1.1000000000000001</v>
      </c>
      <c r="H77" s="50">
        <v>0</v>
      </c>
      <c r="I77" s="50">
        <v>0</v>
      </c>
      <c r="J77" s="50">
        <v>0</v>
      </c>
      <c r="K77" s="50">
        <v>0</v>
      </c>
      <c r="L77" s="50">
        <v>0</v>
      </c>
      <c r="M77" s="50"/>
      <c r="N77" s="50"/>
      <c r="O77" s="50"/>
      <c r="P77" s="50"/>
      <c r="Q77" s="50"/>
      <c r="R77" s="37"/>
      <c r="S77" s="37"/>
      <c r="T77" s="37"/>
      <c r="U77" s="19"/>
      <c r="V77" s="19"/>
    </row>
    <row r="78" spans="1:22" ht="24.75" customHeight="1">
      <c r="B78" s="38" t="s">
        <v>91</v>
      </c>
      <c r="C78" s="39">
        <f t="shared" ref="C78:R78" si="89">C34/C$83*100</f>
        <v>13.857794900533381</v>
      </c>
      <c r="D78" s="40">
        <f t="shared" si="89"/>
        <v>13.408800955503464</v>
      </c>
      <c r="E78" s="40">
        <f t="shared" si="89"/>
        <v>14.413870922656718</v>
      </c>
      <c r="F78" s="40">
        <f t="shared" si="89"/>
        <v>15.286949423469991</v>
      </c>
      <c r="G78" s="40">
        <f t="shared" si="89"/>
        <v>15.802324403762238</v>
      </c>
      <c r="H78" s="40">
        <f t="shared" si="89"/>
        <v>15.99861479337325</v>
      </c>
      <c r="I78" s="40">
        <f t="shared" si="89"/>
        <v>17.064573568943285</v>
      </c>
      <c r="J78" s="40">
        <f t="shared" si="89"/>
        <v>17.9157817390921</v>
      </c>
      <c r="K78" s="40">
        <f t="shared" si="89"/>
        <v>18.209201257137842</v>
      </c>
      <c r="L78" s="40">
        <f t="shared" si="89"/>
        <v>16.974306910386659</v>
      </c>
      <c r="M78" s="40">
        <f t="shared" si="89"/>
        <v>17.714693195330423</v>
      </c>
      <c r="N78" s="40">
        <f t="shared" si="89"/>
        <v>18.074885450345054</v>
      </c>
      <c r="O78" s="40">
        <f t="shared" si="89"/>
        <v>18.037793459598852</v>
      </c>
      <c r="P78" s="40">
        <f t="shared" si="89"/>
        <v>18.707622852708568</v>
      </c>
      <c r="Q78" s="40">
        <f t="shared" si="89"/>
        <v>18.375963040161601</v>
      </c>
      <c r="R78" s="40">
        <f t="shared" si="89"/>
        <v>18.356641553120028</v>
      </c>
      <c r="S78" s="40">
        <f t="shared" ref="S78:T78" si="90">S34/S$83*100</f>
        <v>18.355350473853104</v>
      </c>
      <c r="T78" s="40">
        <f t="shared" si="90"/>
        <v>19.396070094973634</v>
      </c>
      <c r="U78" s="41">
        <f>U34/U$83*100</f>
        <v>19.401618074681835</v>
      </c>
      <c r="V78" s="41">
        <f>V34/V$83*100</f>
        <v>10.554559660901406</v>
      </c>
    </row>
    <row r="79" spans="1:22">
      <c r="B79" s="42"/>
      <c r="C79" s="36"/>
      <c r="D79" s="37"/>
      <c r="E79" s="37"/>
      <c r="F79" s="37"/>
      <c r="G79" s="37"/>
      <c r="H79" s="37"/>
      <c r="I79" s="37"/>
      <c r="J79" s="37"/>
      <c r="K79" s="37"/>
      <c r="L79" s="37"/>
      <c r="M79" s="37"/>
      <c r="N79" s="37"/>
      <c r="O79" s="37"/>
      <c r="P79" s="37"/>
      <c r="Q79" s="37"/>
      <c r="R79" s="37"/>
      <c r="S79" s="37"/>
      <c r="T79" s="37"/>
      <c r="U79" s="19"/>
      <c r="V79" s="19"/>
    </row>
    <row r="80" spans="1:22" ht="24.75" customHeight="1">
      <c r="B80" s="25" t="s">
        <v>92</v>
      </c>
      <c r="C80" s="33">
        <f>SUM(C81:C82)</f>
        <v>108</v>
      </c>
      <c r="D80" s="34">
        <f>SUM(D81:D82)</f>
        <v>81.2</v>
      </c>
      <c r="E80" s="34">
        <f t="shared" ref="E80:R80" si="91">E36/E$83*100</f>
        <v>0.70908601339682997</v>
      </c>
      <c r="F80" s="34">
        <f t="shared" si="91"/>
        <v>0.57415155214970826</v>
      </c>
      <c r="G80" s="34">
        <f t="shared" si="91"/>
        <v>0.76671371042659253</v>
      </c>
      <c r="H80" s="34">
        <f t="shared" si="91"/>
        <v>0.66468090896720644</v>
      </c>
      <c r="I80" s="34">
        <f t="shared" si="91"/>
        <v>0.53734708807373055</v>
      </c>
      <c r="J80" s="34">
        <f t="shared" si="91"/>
        <v>0.9193645568504123</v>
      </c>
      <c r="K80" s="34">
        <f t="shared" si="91"/>
        <v>1.1330474584544634</v>
      </c>
      <c r="L80" s="34">
        <f t="shared" si="91"/>
        <v>1.2879496319088812</v>
      </c>
      <c r="M80" s="34">
        <f t="shared" si="91"/>
        <v>1.023421610674808</v>
      </c>
      <c r="N80" s="34">
        <f t="shared" si="91"/>
        <v>1.4464759527070399</v>
      </c>
      <c r="O80" s="34">
        <f t="shared" si="91"/>
        <v>1.1762187712608392</v>
      </c>
      <c r="P80" s="34">
        <f t="shared" si="91"/>
        <v>0.89962126023602429</v>
      </c>
      <c r="Q80" s="34">
        <f t="shared" si="91"/>
        <v>0.96309107813009676</v>
      </c>
      <c r="R80" s="34">
        <f t="shared" si="91"/>
        <v>0.8555345920598133</v>
      </c>
      <c r="S80" s="34">
        <f t="shared" ref="S80:T80" si="92">S36/S$83*100</f>
        <v>0.29687836115675553</v>
      </c>
      <c r="T80" s="34">
        <f t="shared" si="92"/>
        <v>0.33329816298719872</v>
      </c>
      <c r="U80" s="22">
        <f t="shared" ref="U80:V82" si="93">U36/U$83*100</f>
        <v>0.43923173546087918</v>
      </c>
      <c r="V80" s="22">
        <f t="shared" si="93"/>
        <v>0.29050094733783582</v>
      </c>
    </row>
    <row r="81" spans="2:22" ht="18" customHeight="1">
      <c r="B81" s="43" t="s">
        <v>93</v>
      </c>
      <c r="C81" s="49">
        <v>22.4</v>
      </c>
      <c r="D81" s="50">
        <v>24</v>
      </c>
      <c r="E81" s="50">
        <f t="shared" ref="E81:R81" si="94">E37/E$83*100</f>
        <v>0.18082482969696442</v>
      </c>
      <c r="F81" s="50">
        <f t="shared" si="94"/>
        <v>0.20492468602502739</v>
      </c>
      <c r="G81" s="50">
        <f t="shared" si="94"/>
        <v>0.22564975398566539</v>
      </c>
      <c r="H81" s="50">
        <f t="shared" si="94"/>
        <v>0.21296775071438287</v>
      </c>
      <c r="I81" s="50">
        <f t="shared" si="94"/>
        <v>0.19466696333537295</v>
      </c>
      <c r="J81" s="50">
        <f t="shared" si="94"/>
        <v>0.20574015019030964</v>
      </c>
      <c r="K81" s="50">
        <f t="shared" si="94"/>
        <v>0.27408851669187945</v>
      </c>
      <c r="L81" s="50">
        <f t="shared" si="94"/>
        <v>0.31076684986950071</v>
      </c>
      <c r="M81" s="50">
        <f t="shared" si="94"/>
        <v>0.29813659209276711</v>
      </c>
      <c r="N81" s="50">
        <f t="shared" si="94"/>
        <v>0.32538313864575541</v>
      </c>
      <c r="O81" s="50">
        <f t="shared" si="94"/>
        <v>0.31610293905167597</v>
      </c>
      <c r="P81" s="50">
        <f t="shared" si="94"/>
        <v>0.12218176446139688</v>
      </c>
      <c r="Q81" s="50">
        <f t="shared" si="94"/>
        <v>0.12387464059305632</v>
      </c>
      <c r="R81" s="37">
        <f t="shared" si="94"/>
        <v>0.12730833087296656</v>
      </c>
      <c r="S81" s="37">
        <f t="shared" ref="S81:T81" si="95">S37/S$83*100</f>
        <v>0.12777907946101097</v>
      </c>
      <c r="T81" s="37">
        <f t="shared" si="95"/>
        <v>0.15877642660032085</v>
      </c>
      <c r="U81" s="19">
        <f t="shared" si="93"/>
        <v>0.15494452905828543</v>
      </c>
      <c r="V81" s="19">
        <f t="shared" si="93"/>
        <v>0.10212699523555861</v>
      </c>
    </row>
    <row r="82" spans="2:22" ht="18" customHeight="1">
      <c r="B82" s="44" t="s">
        <v>94</v>
      </c>
      <c r="C82" s="52">
        <v>85.6</v>
      </c>
      <c r="D82" s="53">
        <v>57.2</v>
      </c>
      <c r="E82" s="53">
        <f t="shared" ref="E82:R82" si="96">E38/E$83*100</f>
        <v>0.52826118369986552</v>
      </c>
      <c r="F82" s="53">
        <f t="shared" si="96"/>
        <v>0.36922686612468086</v>
      </c>
      <c r="G82" s="53">
        <f t="shared" si="96"/>
        <v>0.54106395644092709</v>
      </c>
      <c r="H82" s="53">
        <f t="shared" si="96"/>
        <v>0.45171315825282354</v>
      </c>
      <c r="I82" s="53">
        <f t="shared" si="96"/>
        <v>0.34268012473835757</v>
      </c>
      <c r="J82" s="53">
        <f t="shared" si="96"/>
        <v>0.71362440666010263</v>
      </c>
      <c r="K82" s="53">
        <f t="shared" si="96"/>
        <v>0.85895894176258381</v>
      </c>
      <c r="L82" s="53">
        <f t="shared" si="96"/>
        <v>0.97718278203938058</v>
      </c>
      <c r="M82" s="53">
        <f t="shared" si="96"/>
        <v>0.72528501858204086</v>
      </c>
      <c r="N82" s="53">
        <f t="shared" si="96"/>
        <v>1.1210928140612844</v>
      </c>
      <c r="O82" s="53">
        <f t="shared" si="96"/>
        <v>0.86011583220916321</v>
      </c>
      <c r="P82" s="53">
        <f t="shared" si="96"/>
        <v>0.77743949577462745</v>
      </c>
      <c r="Q82" s="53">
        <f t="shared" si="96"/>
        <v>0.83921643753704034</v>
      </c>
      <c r="R82" s="46">
        <f t="shared" si="96"/>
        <v>0.72822626118684675</v>
      </c>
      <c r="S82" s="46">
        <f t="shared" ref="S82:T82" si="97">S38/S$83*100</f>
        <v>0.16909928169574456</v>
      </c>
      <c r="T82" s="46">
        <f t="shared" si="97"/>
        <v>0.17452173638687785</v>
      </c>
      <c r="U82" s="47">
        <f t="shared" si="93"/>
        <v>0.2842872064025937</v>
      </c>
      <c r="V82" s="47">
        <f t="shared" si="93"/>
        <v>0.18837395210227717</v>
      </c>
    </row>
    <row r="83" spans="2:22" ht="24.75" customHeight="1">
      <c r="B83" s="614" t="s">
        <v>56</v>
      </c>
      <c r="C83" s="288">
        <v>11784.93</v>
      </c>
      <c r="D83" s="288">
        <v>12282.53</v>
      </c>
      <c r="E83" s="288">
        <v>12664.19</v>
      </c>
      <c r="F83" s="288">
        <v>13243.89</v>
      </c>
      <c r="G83" s="288">
        <v>13724.81</v>
      </c>
      <c r="H83" s="288">
        <v>14698</v>
      </c>
      <c r="I83" s="288">
        <v>15999.89</v>
      </c>
      <c r="J83" s="288">
        <v>17011.75</v>
      </c>
      <c r="K83" s="288">
        <v>17986.89</v>
      </c>
      <c r="L83" s="288">
        <v>17601.62</v>
      </c>
      <c r="M83" s="288">
        <v>18447.919999999998</v>
      </c>
      <c r="N83" s="288">
        <v>20283.78</v>
      </c>
      <c r="O83" s="288">
        <v>21386.15</v>
      </c>
      <c r="P83" s="288">
        <v>21990.959999999999</v>
      </c>
      <c r="Q83" s="288">
        <v>22593.47</v>
      </c>
      <c r="R83" s="40">
        <v>23438.240000000002</v>
      </c>
      <c r="S83" s="40">
        <v>24154.11</v>
      </c>
      <c r="T83" s="40">
        <v>24927.97</v>
      </c>
      <c r="U83" s="41">
        <v>26056.94</v>
      </c>
      <c r="V83" s="41">
        <v>26844.7</v>
      </c>
    </row>
    <row r="84" spans="2:22" ht="30" customHeight="1">
      <c r="B84" s="767" t="s">
        <v>95</v>
      </c>
      <c r="C84" s="767"/>
      <c r="D84" s="767"/>
      <c r="E84" s="767"/>
      <c r="F84" s="767"/>
      <c r="G84" s="767"/>
      <c r="H84" s="767"/>
      <c r="I84" s="767"/>
      <c r="J84" s="767"/>
      <c r="K84" s="767"/>
      <c r="L84" s="767"/>
      <c r="M84" s="767"/>
      <c r="N84" s="767"/>
      <c r="O84" s="767"/>
      <c r="P84" s="767"/>
      <c r="Q84" s="767"/>
      <c r="R84" s="767"/>
      <c r="S84" s="767"/>
      <c r="T84" s="767"/>
      <c r="U84" s="767"/>
      <c r="V84" s="767"/>
    </row>
    <row r="85" spans="2:22" ht="15" customHeight="1">
      <c r="B85" s="764" t="s">
        <v>96</v>
      </c>
      <c r="C85" s="764"/>
      <c r="D85" s="764"/>
      <c r="E85" s="764"/>
      <c r="F85" s="764"/>
      <c r="G85" s="764"/>
      <c r="H85" s="764"/>
      <c r="I85" s="764"/>
      <c r="J85" s="764"/>
      <c r="K85" s="764"/>
      <c r="L85" s="764"/>
      <c r="M85" s="764"/>
      <c r="N85" s="764"/>
      <c r="O85" s="764"/>
      <c r="P85" s="764"/>
      <c r="Q85" s="764"/>
      <c r="R85" s="764"/>
      <c r="S85" s="764"/>
      <c r="T85" s="764"/>
      <c r="U85" s="764"/>
      <c r="V85" s="764"/>
    </row>
    <row r="86" spans="2:22" ht="27" customHeight="1">
      <c r="B86" s="764" t="s">
        <v>108</v>
      </c>
      <c r="C86" s="764"/>
      <c r="D86" s="764"/>
      <c r="E86" s="764"/>
      <c r="F86" s="764"/>
      <c r="G86" s="764"/>
      <c r="H86" s="764"/>
      <c r="I86" s="764"/>
      <c r="J86" s="764"/>
      <c r="K86" s="764"/>
      <c r="L86" s="764"/>
      <c r="M86" s="764"/>
      <c r="N86" s="764"/>
      <c r="O86" s="764"/>
      <c r="P86" s="764"/>
      <c r="Q86" s="764"/>
      <c r="R86" s="764"/>
      <c r="S86" s="764"/>
      <c r="T86" s="764"/>
      <c r="U86" s="764"/>
      <c r="V86" s="764"/>
    </row>
    <row r="87" spans="2:22" ht="30.75" customHeight="1">
      <c r="B87" s="764" t="s">
        <v>313</v>
      </c>
      <c r="C87" s="764"/>
      <c r="D87" s="764"/>
      <c r="E87" s="764"/>
      <c r="F87" s="764"/>
      <c r="G87" s="764"/>
      <c r="H87" s="764"/>
      <c r="I87" s="764"/>
      <c r="J87" s="764"/>
      <c r="K87" s="764"/>
      <c r="L87" s="764"/>
      <c r="M87" s="764"/>
      <c r="N87" s="764"/>
      <c r="O87" s="764"/>
      <c r="P87" s="764"/>
      <c r="Q87" s="764"/>
      <c r="R87" s="764"/>
      <c r="S87" s="764"/>
      <c r="T87" s="764"/>
      <c r="U87" s="764"/>
      <c r="V87" s="764"/>
    </row>
    <row r="88" spans="2:22" ht="24.75" customHeight="1">
      <c r="B88" s="764" t="s">
        <v>678</v>
      </c>
      <c r="C88" s="764"/>
      <c r="D88" s="764"/>
      <c r="E88" s="764"/>
      <c r="F88" s="764"/>
      <c r="G88" s="764"/>
      <c r="H88" s="764"/>
      <c r="I88" s="764"/>
      <c r="J88" s="764"/>
      <c r="K88" s="764"/>
      <c r="L88" s="764"/>
      <c r="M88" s="764"/>
      <c r="N88" s="764"/>
      <c r="O88" s="764"/>
      <c r="P88" s="764"/>
      <c r="Q88" s="764"/>
      <c r="R88" s="764"/>
      <c r="S88" s="764"/>
      <c r="T88" s="764"/>
      <c r="U88" s="764"/>
      <c r="V88" s="764"/>
    </row>
  </sheetData>
  <mergeCells count="10">
    <mergeCell ref="B86:V86"/>
    <mergeCell ref="B87:V87"/>
    <mergeCell ref="B88:V88"/>
    <mergeCell ref="B39:V39"/>
    <mergeCell ref="B40:V40"/>
    <mergeCell ref="B41:V41"/>
    <mergeCell ref="B42:V42"/>
    <mergeCell ref="B43:V43"/>
    <mergeCell ref="B84:V84"/>
    <mergeCell ref="B85:V85"/>
  </mergeCells>
  <printOptions horizontalCentered="1"/>
  <pageMargins left="0.7" right="0.7" top="0.75" bottom="0.75" header="0.3" footer="0.3"/>
  <pageSetup scale="3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F41"/>
  <sheetViews>
    <sheetView workbookViewId="0">
      <pane xSplit="2" ySplit="5" topLeftCell="W6" activePane="bottomRight" state="frozen"/>
      <selection pane="topRight" activeCell="C1" sqref="C1"/>
      <selection pane="bottomLeft" activeCell="A6" sqref="A6"/>
      <selection pane="bottomRight" activeCell="AD15" sqref="AD15"/>
    </sheetView>
  </sheetViews>
  <sheetFormatPr baseColWidth="10" defaultRowHeight="15"/>
  <cols>
    <col min="2" max="2" width="18" customWidth="1"/>
    <col min="3" max="31" width="9.7109375" customWidth="1"/>
  </cols>
  <sheetData>
    <row r="2" spans="2:32">
      <c r="B2" s="219" t="s">
        <v>785</v>
      </c>
    </row>
    <row r="3" spans="2:32">
      <c r="B3" t="s">
        <v>235</v>
      </c>
    </row>
    <row r="5" spans="2:32">
      <c r="C5" s="601">
        <v>1990</v>
      </c>
      <c r="D5" s="601">
        <v>1991</v>
      </c>
      <c r="E5" s="601">
        <v>1992</v>
      </c>
      <c r="F5" s="601">
        <v>1993</v>
      </c>
      <c r="G5" s="601">
        <v>1994</v>
      </c>
      <c r="H5" s="601">
        <v>1995</v>
      </c>
      <c r="I5" s="601">
        <v>1996</v>
      </c>
      <c r="J5" s="601">
        <v>1997</v>
      </c>
      <c r="K5" s="601">
        <v>1998</v>
      </c>
      <c r="L5" s="601">
        <v>1999</v>
      </c>
      <c r="M5" s="601">
        <v>2000</v>
      </c>
      <c r="N5" s="601">
        <v>2001</v>
      </c>
      <c r="O5" s="601">
        <v>2002</v>
      </c>
      <c r="P5" s="601">
        <v>2003</v>
      </c>
      <c r="Q5" s="601">
        <v>2004</v>
      </c>
      <c r="R5" s="601">
        <v>2005</v>
      </c>
      <c r="S5" s="601">
        <v>2006</v>
      </c>
      <c r="T5" s="601">
        <v>2007</v>
      </c>
      <c r="U5" s="601">
        <v>2008</v>
      </c>
      <c r="V5" s="601">
        <v>2009</v>
      </c>
      <c r="W5" s="601">
        <v>2010</v>
      </c>
      <c r="X5" s="601">
        <v>2011</v>
      </c>
      <c r="Y5" s="601">
        <v>2012</v>
      </c>
      <c r="Z5" s="601">
        <v>2013</v>
      </c>
      <c r="AA5" s="601">
        <v>2014</v>
      </c>
      <c r="AB5" s="601">
        <v>2015</v>
      </c>
      <c r="AC5" s="601">
        <v>2016</v>
      </c>
      <c r="AD5" s="601">
        <v>2017</v>
      </c>
      <c r="AE5" s="601">
        <v>2018</v>
      </c>
      <c r="AF5" s="601" t="s">
        <v>773</v>
      </c>
    </row>
    <row r="6" spans="2:32">
      <c r="B6" t="s">
        <v>230</v>
      </c>
      <c r="C6" s="23">
        <v>438</v>
      </c>
      <c r="D6" s="23">
        <v>487</v>
      </c>
      <c r="E6" s="23">
        <v>578</v>
      </c>
      <c r="F6" s="23">
        <v>702</v>
      </c>
      <c r="G6" s="23">
        <v>866</v>
      </c>
      <c r="H6" s="23">
        <v>1128</v>
      </c>
      <c r="I6" s="23">
        <v>1150</v>
      </c>
      <c r="J6" s="23">
        <v>1215</v>
      </c>
      <c r="K6" s="23">
        <v>1305</v>
      </c>
      <c r="L6" s="23">
        <v>1359</v>
      </c>
      <c r="M6" s="23">
        <v>1451</v>
      </c>
      <c r="N6" s="23">
        <v>1530</v>
      </c>
      <c r="O6" s="23">
        <v>1685</v>
      </c>
      <c r="P6" s="23">
        <v>1812</v>
      </c>
      <c r="Q6" s="23">
        <v>1925</v>
      </c>
      <c r="R6" s="23">
        <v>2229</v>
      </c>
      <c r="S6" s="23">
        <v>2573</v>
      </c>
      <c r="T6" s="23">
        <v>2877</v>
      </c>
      <c r="U6" s="23">
        <v>3090</v>
      </c>
      <c r="V6" s="23">
        <v>2836</v>
      </c>
      <c r="W6" s="23">
        <v>3071.8</v>
      </c>
      <c r="X6" s="23">
        <v>3486.6</v>
      </c>
      <c r="Y6" s="23">
        <v>3685.4</v>
      </c>
      <c r="Z6" s="23">
        <v>3944.1</v>
      </c>
      <c r="AA6" s="23">
        <v>3989</v>
      </c>
      <c r="AB6" s="23">
        <v>4118.05348099</v>
      </c>
      <c r="AC6" s="23">
        <v>4237.99358295</v>
      </c>
      <c r="AD6" s="23">
        <v>4488.1793214429999</v>
      </c>
      <c r="AE6" s="23">
        <v>4769.3019497790001</v>
      </c>
      <c r="AF6" s="684">
        <v>2695.3323726800004</v>
      </c>
    </row>
    <row r="7" spans="2:32">
      <c r="B7" t="s">
        <v>236</v>
      </c>
      <c r="C7" s="618">
        <f>+C6/C8</f>
        <v>9.0917771310668929E-2</v>
      </c>
      <c r="D7" s="618">
        <f>+D6/D8</f>
        <v>9.2720577875765847E-2</v>
      </c>
      <c r="E7" s="618">
        <f t="shared" ref="E7:AF7" si="0">+E6/E8</f>
        <v>9.9425465304296981E-2</v>
      </c>
      <c r="F7" s="618">
        <f t="shared" si="0"/>
        <v>0.10508557288852097</v>
      </c>
      <c r="G7" s="618">
        <f t="shared" si="0"/>
        <v>0.11276952045607848</v>
      </c>
      <c r="H7" s="618">
        <f t="shared" si="0"/>
        <v>0.12642976031024608</v>
      </c>
      <c r="I7" s="618">
        <f t="shared" si="0"/>
        <v>0.1199624882514998</v>
      </c>
      <c r="J7" s="618">
        <f t="shared" si="0"/>
        <v>0.11886465180483502</v>
      </c>
      <c r="K7" s="618">
        <f t="shared" si="0"/>
        <v>0.11932334065122199</v>
      </c>
      <c r="L7" s="618">
        <f t="shared" si="0"/>
        <v>0.12043388100175466</v>
      </c>
      <c r="M7" s="618">
        <f t="shared" si="0"/>
        <v>0.12312334481409733</v>
      </c>
      <c r="N7" s="618">
        <f t="shared" si="0"/>
        <v>0.12456716979319407</v>
      </c>
      <c r="O7" s="618">
        <f t="shared" si="0"/>
        <v>0.13305233102156552</v>
      </c>
      <c r="P7" s="618">
        <f t="shared" si="0"/>
        <v>0.13681780806092469</v>
      </c>
      <c r="Q7" s="618">
        <f t="shared" si="0"/>
        <v>0.14025695073374422</v>
      </c>
      <c r="R7" s="618">
        <f t="shared" si="0"/>
        <v>0.15165328616138249</v>
      </c>
      <c r="S7" s="618">
        <f t="shared" si="0"/>
        <v>0.16081360559353847</v>
      </c>
      <c r="T7" s="618">
        <f t="shared" si="0"/>
        <v>0.16911840345643453</v>
      </c>
      <c r="U7" s="618">
        <f t="shared" si="0"/>
        <v>0.17179178835251677</v>
      </c>
      <c r="V7" s="618">
        <f t="shared" si="0"/>
        <v>0.16112153313160948</v>
      </c>
      <c r="W7" s="618">
        <f t="shared" si="0"/>
        <v>0.16651199701646585</v>
      </c>
      <c r="X7" s="618">
        <f t="shared" si="0"/>
        <v>0.17189103806095316</v>
      </c>
      <c r="Y7" s="618">
        <f t="shared" si="0"/>
        <v>0.17232648232617839</v>
      </c>
      <c r="Z7" s="618">
        <f t="shared" si="0"/>
        <v>0.17935096967117398</v>
      </c>
      <c r="AA7" s="618">
        <f t="shared" si="0"/>
        <v>0.17655543836338553</v>
      </c>
      <c r="AB7" s="618">
        <f t="shared" si="0"/>
        <v>0.1756980678152455</v>
      </c>
      <c r="AC7" s="618">
        <f t="shared" si="0"/>
        <v>0.17545641644217072</v>
      </c>
      <c r="AD7" s="618">
        <f t="shared" ref="AD7" si="1">+AD6/AD8</f>
        <v>0.18004592116578283</v>
      </c>
      <c r="AE7" s="618">
        <f t="shared" si="0"/>
        <v>0.18303384625282171</v>
      </c>
      <c r="AF7" s="751">
        <f t="shared" si="0"/>
        <v>0.10040463751429519</v>
      </c>
    </row>
    <row r="8" spans="2:32">
      <c r="B8" t="s">
        <v>194</v>
      </c>
      <c r="C8" s="617">
        <v>4817.54</v>
      </c>
      <c r="D8" s="617">
        <v>5252.34</v>
      </c>
      <c r="E8" s="617">
        <v>5813.4</v>
      </c>
      <c r="F8" s="617">
        <v>6680.27</v>
      </c>
      <c r="G8" s="617">
        <v>7679.38</v>
      </c>
      <c r="H8" s="617">
        <v>8921.9500000000007</v>
      </c>
      <c r="I8" s="617">
        <v>9586.33</v>
      </c>
      <c r="J8" s="617">
        <v>10221.709999999999</v>
      </c>
      <c r="K8" s="617">
        <v>10936.67</v>
      </c>
      <c r="L8" s="617">
        <v>11284.2</v>
      </c>
      <c r="M8" s="617">
        <v>11784.93</v>
      </c>
      <c r="N8" s="617">
        <v>12282.53</v>
      </c>
      <c r="O8" s="617">
        <v>12664.19</v>
      </c>
      <c r="P8" s="617">
        <v>13243.89</v>
      </c>
      <c r="Q8" s="617">
        <v>13724.81</v>
      </c>
      <c r="R8" s="617">
        <v>14698</v>
      </c>
      <c r="S8" s="617">
        <v>15999.89</v>
      </c>
      <c r="T8" s="617">
        <v>17011.75</v>
      </c>
      <c r="U8" s="617">
        <v>17986.89</v>
      </c>
      <c r="V8" s="617">
        <v>17601.62</v>
      </c>
      <c r="W8" s="617">
        <v>18447.919999999998</v>
      </c>
      <c r="X8" s="617">
        <v>20283.78</v>
      </c>
      <c r="Y8" s="617">
        <v>21386.15</v>
      </c>
      <c r="Z8" s="617">
        <v>21990.959999999999</v>
      </c>
      <c r="AA8" s="617">
        <v>22593.47</v>
      </c>
      <c r="AB8" s="617">
        <v>23438.240000000002</v>
      </c>
      <c r="AC8" s="617">
        <v>24154.11</v>
      </c>
      <c r="AD8" s="617">
        <v>24927.97</v>
      </c>
      <c r="AE8" s="617">
        <v>26056.94</v>
      </c>
      <c r="AF8" s="617">
        <v>26844.7</v>
      </c>
    </row>
    <row r="12" spans="2:32">
      <c r="AF12" s="23">
        <v>2695.3323726800004</v>
      </c>
    </row>
    <row r="14" spans="2:32">
      <c r="X14" s="23"/>
      <c r="Y14" s="23"/>
    </row>
    <row r="15" spans="2:32">
      <c r="X15" s="23"/>
      <c r="Y15" s="23"/>
    </row>
    <row r="16" spans="2:32">
      <c r="X16" s="23"/>
      <c r="Y16" s="23"/>
    </row>
    <row r="17" spans="24:25">
      <c r="X17" s="23"/>
      <c r="Y17" s="23"/>
    </row>
    <row r="18" spans="24:25">
      <c r="X18" s="23"/>
      <c r="Y18" s="23"/>
    </row>
    <row r="19" spans="24:25">
      <c r="X19" s="23"/>
      <c r="Y19" s="23"/>
    </row>
    <row r="20" spans="24:25">
      <c r="X20" s="23"/>
      <c r="Y20" s="23"/>
    </row>
    <row r="21" spans="24:25">
      <c r="X21" s="23"/>
      <c r="Y21" s="23"/>
    </row>
    <row r="22" spans="24:25">
      <c r="X22" s="23"/>
      <c r="Y22" s="23"/>
    </row>
    <row r="23" spans="24:25">
      <c r="X23" s="23"/>
      <c r="Y23" s="23"/>
    </row>
    <row r="24" spans="24:25">
      <c r="X24" s="23"/>
      <c r="Y24" s="23"/>
    </row>
    <row r="25" spans="24:25">
      <c r="X25" s="23"/>
      <c r="Y25" s="23"/>
    </row>
    <row r="26" spans="24:25">
      <c r="X26" s="23"/>
      <c r="Y26" s="23"/>
    </row>
    <row r="27" spans="24:25">
      <c r="X27" s="23"/>
      <c r="Y27" s="23"/>
    </row>
    <row r="28" spans="24:25">
      <c r="X28" s="23"/>
      <c r="Y28" s="23"/>
    </row>
    <row r="29" spans="24:25">
      <c r="X29" s="23"/>
      <c r="Y29" s="23"/>
    </row>
    <row r="30" spans="24:25">
      <c r="X30" s="23"/>
      <c r="Y30" s="23"/>
    </row>
    <row r="31" spans="24:25">
      <c r="X31" s="23"/>
      <c r="Y31" s="23"/>
    </row>
    <row r="32" spans="24:25">
      <c r="X32" s="23"/>
      <c r="Y32" s="23"/>
    </row>
    <row r="33" spans="24:25">
      <c r="X33" s="23"/>
      <c r="Y33" s="23"/>
    </row>
    <row r="34" spans="24:25">
      <c r="X34" s="23"/>
      <c r="Y34" s="23"/>
    </row>
    <row r="35" spans="24:25">
      <c r="X35" s="23"/>
      <c r="Y35" s="23"/>
    </row>
    <row r="36" spans="24:25">
      <c r="X36" s="23"/>
      <c r="Y36" s="23"/>
    </row>
    <row r="37" spans="24:25">
      <c r="X37" s="23"/>
      <c r="Y37" s="23"/>
    </row>
    <row r="38" spans="24:25">
      <c r="X38" s="23"/>
      <c r="Y38" s="23"/>
    </row>
    <row r="39" spans="24:25">
      <c r="X39" s="23"/>
      <c r="Y39" s="23"/>
    </row>
    <row r="40" spans="24:25">
      <c r="X40" s="23"/>
      <c r="Y40" s="23"/>
    </row>
    <row r="41" spans="24:25">
      <c r="X41" s="23"/>
      <c r="Y41" s="2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Z63"/>
  <sheetViews>
    <sheetView workbookViewId="0">
      <pane xSplit="2" ySplit="5" topLeftCell="M55" activePane="bottomRight" state="frozen"/>
      <selection pane="topRight" activeCell="C1" sqref="C1"/>
      <selection pane="bottomLeft" activeCell="A6" sqref="A6"/>
      <selection pane="bottomRight" activeCell="R69" sqref="R69"/>
    </sheetView>
  </sheetViews>
  <sheetFormatPr baseColWidth="10" defaultRowHeight="15"/>
  <cols>
    <col min="2" max="2" width="30.7109375" customWidth="1"/>
    <col min="3" max="21" width="9.7109375" customWidth="1"/>
  </cols>
  <sheetData>
    <row r="2" spans="1:22">
      <c r="B2" s="219" t="s">
        <v>784</v>
      </c>
    </row>
    <row r="5" spans="1:22">
      <c r="C5" s="601">
        <v>2000</v>
      </c>
      <c r="D5" s="601">
        <v>2001</v>
      </c>
      <c r="E5" s="601">
        <v>2002</v>
      </c>
      <c r="F5" s="601">
        <v>2003</v>
      </c>
      <c r="G5" s="601">
        <v>2004</v>
      </c>
      <c r="H5" s="601">
        <v>2005</v>
      </c>
      <c r="I5" s="601">
        <v>2006</v>
      </c>
      <c r="J5" s="601">
        <v>2007</v>
      </c>
      <c r="K5" s="601">
        <v>2008</v>
      </c>
      <c r="L5" s="601">
        <v>2009</v>
      </c>
      <c r="M5" s="601">
        <v>2010</v>
      </c>
      <c r="N5" s="601">
        <v>2011</v>
      </c>
      <c r="O5" s="601">
        <v>2012</v>
      </c>
      <c r="P5" s="601">
        <v>2013</v>
      </c>
      <c r="Q5" s="601">
        <v>2014</v>
      </c>
      <c r="R5" s="601">
        <v>2015</v>
      </c>
      <c r="S5" s="601">
        <v>2016</v>
      </c>
      <c r="T5" s="601">
        <v>2017</v>
      </c>
      <c r="U5" s="601">
        <v>2018</v>
      </c>
      <c r="V5" s="601" t="s">
        <v>773</v>
      </c>
    </row>
    <row r="6" spans="1:22">
      <c r="B6" t="s">
        <v>93</v>
      </c>
      <c r="C6" s="222">
        <f>C14/C$22</f>
        <v>3.8284487052532346E-2</v>
      </c>
      <c r="D6" s="222">
        <f t="shared" ref="D6:F6" si="0">D14/D$22</f>
        <v>3.7080308372949219E-2</v>
      </c>
      <c r="E6" s="222">
        <f t="shared" si="0"/>
        <v>3.7917940270952979E-2</v>
      </c>
      <c r="F6" s="222">
        <f t="shared" si="0"/>
        <v>4.0026004444313569E-2</v>
      </c>
      <c r="G6" s="222">
        <f t="shared" ref="G6:V6" si="1">G14/G$22</f>
        <v>4.1144467573685908E-2</v>
      </c>
      <c r="H6" s="222">
        <f t="shared" si="1"/>
        <v>4.7600896129405365E-2</v>
      </c>
      <c r="I6" s="222">
        <f t="shared" si="1"/>
        <v>5.1169101787574792E-2</v>
      </c>
      <c r="J6" s="222">
        <f t="shared" si="1"/>
        <v>5.6913603832645085E-2</v>
      </c>
      <c r="K6" s="222">
        <f t="shared" si="1"/>
        <v>5.8564876974285168E-2</v>
      </c>
      <c r="L6" s="222">
        <f t="shared" si="1"/>
        <v>5.7028841663437795E-2</v>
      </c>
      <c r="M6" s="222">
        <f t="shared" si="1"/>
        <v>5.6993091904127949E-2</v>
      </c>
      <c r="N6" s="222">
        <f t="shared" si="1"/>
        <v>5.8805952342216299E-2</v>
      </c>
      <c r="O6" s="222">
        <f t="shared" si="1"/>
        <v>6.1599333840359309E-2</v>
      </c>
      <c r="P6" s="222">
        <f t="shared" si="1"/>
        <v>6.8499390307198968E-2</v>
      </c>
      <c r="Q6" s="222">
        <f t="shared" si="1"/>
        <v>6.8575435996772516E-2</v>
      </c>
      <c r="R6" s="222">
        <f t="shared" si="1"/>
        <v>6.7192195318419801E-2</v>
      </c>
      <c r="S6" s="222">
        <f t="shared" si="1"/>
        <v>6.9957315080125079E-2</v>
      </c>
      <c r="T6" s="222">
        <f t="shared" ref="T6" si="2">T14/T$22</f>
        <v>7.1131534250883643E-2</v>
      </c>
      <c r="U6" s="222">
        <f t="shared" si="1"/>
        <v>7.1373663553740391E-2</v>
      </c>
      <c r="V6" s="222">
        <f t="shared" si="1"/>
        <v>4.3933949406773032E-2</v>
      </c>
    </row>
    <row r="7" spans="1:22">
      <c r="B7" t="s">
        <v>94</v>
      </c>
      <c r="C7" s="222">
        <f t="shared" ref="C7:F10" si="3">C15/C$22</f>
        <v>6.7815421898984554E-2</v>
      </c>
      <c r="D7" s="222">
        <f t="shared" si="3"/>
        <v>7.0531071367218312E-2</v>
      </c>
      <c r="E7" s="222">
        <f t="shared" si="3"/>
        <v>7.1374481905277787E-2</v>
      </c>
      <c r="F7" s="222">
        <f t="shared" si="3"/>
        <v>7.2508907881294701E-2</v>
      </c>
      <c r="G7" s="222">
        <f t="shared" ref="G7:V7" si="4">G15/G$22</f>
        <v>7.4769705372970563E-2</v>
      </c>
      <c r="H7" s="222">
        <f t="shared" si="4"/>
        <v>7.9597011563478023E-2</v>
      </c>
      <c r="I7" s="222">
        <f t="shared" si="4"/>
        <v>8.5156835453243748E-2</v>
      </c>
      <c r="J7" s="222">
        <f t="shared" si="4"/>
        <v>8.8574073801931011E-2</v>
      </c>
      <c r="K7" s="222">
        <f t="shared" si="4"/>
        <v>8.9799292707077219E-2</v>
      </c>
      <c r="L7" s="222">
        <f t="shared" si="4"/>
        <v>8.0856193918514327E-2</v>
      </c>
      <c r="M7" s="222">
        <f t="shared" si="4"/>
        <v>8.490610323548671E-2</v>
      </c>
      <c r="N7" s="222">
        <f t="shared" si="4"/>
        <v>8.8814609505723299E-2</v>
      </c>
      <c r="O7" s="222">
        <f t="shared" si="4"/>
        <v>8.7013955542255134E-2</v>
      </c>
      <c r="P7" s="222">
        <f t="shared" si="4"/>
        <v>8.6474340783667475E-2</v>
      </c>
      <c r="Q7" s="222">
        <f t="shared" si="4"/>
        <v>8.4537181572374664E-2</v>
      </c>
      <c r="R7" s="222">
        <f t="shared" si="4"/>
        <v>8.2528615629842511E-2</v>
      </c>
      <c r="S7" s="222">
        <f t="shared" si="4"/>
        <v>7.6752011548759186E-2</v>
      </c>
      <c r="T7" s="222">
        <f t="shared" ref="T7" si="5">T15/T$22</f>
        <v>7.8102652006962467E-2</v>
      </c>
      <c r="U7" s="222">
        <f t="shared" si="4"/>
        <v>8.0722588083213156E-2</v>
      </c>
      <c r="V7" s="222">
        <f t="shared" si="4"/>
        <v>4.1100533544424035E-2</v>
      </c>
    </row>
    <row r="8" spans="1:22">
      <c r="B8" t="s">
        <v>232</v>
      </c>
      <c r="C8" s="222">
        <f t="shared" si="3"/>
        <v>1.1920308393855541E-2</v>
      </c>
      <c r="D8" s="222">
        <f t="shared" si="3"/>
        <v>1.1886801823402833E-2</v>
      </c>
      <c r="E8" s="222">
        <f t="shared" si="3"/>
        <v>1.2223442636283884E-2</v>
      </c>
      <c r="F8" s="222">
        <f t="shared" si="3"/>
        <v>1.3409957346368779E-2</v>
      </c>
      <c r="G8" s="222">
        <f t="shared" ref="G8:V8" si="6">G16/G$22</f>
        <v>1.2903639467504469E-2</v>
      </c>
      <c r="H8" s="222">
        <f t="shared" si="6"/>
        <v>1.2304607839161787E-2</v>
      </c>
      <c r="I8" s="222">
        <f t="shared" si="6"/>
        <v>1.2481335809183688E-2</v>
      </c>
      <c r="J8" s="222">
        <f t="shared" si="6"/>
        <v>1.1982306347083634E-2</v>
      </c>
      <c r="K8" s="222">
        <f t="shared" si="6"/>
        <v>9.9405733842815522E-3</v>
      </c>
      <c r="L8" s="222">
        <f t="shared" si="6"/>
        <v>7.840187437292704E-3</v>
      </c>
      <c r="M8" s="222">
        <f t="shared" si="6"/>
        <v>8.1602153521914671E-3</v>
      </c>
      <c r="N8" s="222">
        <f t="shared" si="6"/>
        <v>8.2502373817897861E-3</v>
      </c>
      <c r="O8" s="222">
        <f t="shared" si="6"/>
        <v>8.3976015206103025E-3</v>
      </c>
      <c r="P8" s="222">
        <f t="shared" si="6"/>
        <v>9.0586431524590123E-3</v>
      </c>
      <c r="Q8" s="222">
        <f t="shared" si="6"/>
        <v>8.023671361238445E-3</v>
      </c>
      <c r="R8" s="222">
        <f t="shared" si="6"/>
        <v>8.2845725617623159E-3</v>
      </c>
      <c r="S8" s="222">
        <f t="shared" si="6"/>
        <v>8.548248388369515E-3</v>
      </c>
      <c r="T8" s="222">
        <f t="shared" ref="T8" si="7">T16/T$22</f>
        <v>8.4569027806917271E-3</v>
      </c>
      <c r="U8" s="222">
        <f t="shared" si="6"/>
        <v>8.7278632425756824E-3</v>
      </c>
      <c r="V8" s="222">
        <f t="shared" si="6"/>
        <v>4.0105760712542881E-3</v>
      </c>
    </row>
    <row r="9" spans="1:22">
      <c r="B9" t="s">
        <v>233</v>
      </c>
      <c r="C9" s="222">
        <f t="shared" si="3"/>
        <v>4.135063048438011E-3</v>
      </c>
      <c r="D9" s="222">
        <f t="shared" si="3"/>
        <v>4.0056893815850645E-3</v>
      </c>
      <c r="E9" s="222">
        <f t="shared" si="3"/>
        <v>5.2510267139074824E-3</v>
      </c>
      <c r="F9" s="222">
        <f t="shared" si="3"/>
        <v>4.6587520735977125E-3</v>
      </c>
      <c r="G9" s="222">
        <f t="shared" ref="G9:V9" si="8">G17/G$22</f>
        <v>5.4062679191915954E-3</v>
      </c>
      <c r="H9" s="222">
        <f t="shared" si="8"/>
        <v>6.4875742652061499E-3</v>
      </c>
      <c r="I9" s="222">
        <f t="shared" si="8"/>
        <v>6.087541851850232E-3</v>
      </c>
      <c r="J9" s="222">
        <f t="shared" si="8"/>
        <v>5.747791967316708E-3</v>
      </c>
      <c r="K9" s="222">
        <f t="shared" si="8"/>
        <v>5.3249894784479146E-3</v>
      </c>
      <c r="L9" s="222">
        <f t="shared" si="8"/>
        <v>5.6642513586817583E-3</v>
      </c>
      <c r="M9" s="222">
        <f t="shared" si="8"/>
        <v>6.4878858971634751E-3</v>
      </c>
      <c r="N9" s="222">
        <f t="shared" si="8"/>
        <v>6.9218853685062646E-3</v>
      </c>
      <c r="O9" s="222">
        <f t="shared" si="8"/>
        <v>6.8309723204036258E-3</v>
      </c>
      <c r="P9" s="222">
        <f t="shared" si="8"/>
        <v>6.5967958574796185E-3</v>
      </c>
      <c r="Q9" s="222">
        <f t="shared" si="8"/>
        <v>6.6119781273084651E-3</v>
      </c>
      <c r="R9" s="222">
        <f t="shared" si="8"/>
        <v>6.9258570609397295E-3</v>
      </c>
      <c r="S9" s="222">
        <f t="shared" si="8"/>
        <v>7.0444263348970427E-3</v>
      </c>
      <c r="T9" s="222">
        <f t="shared" ref="T9" si="9">T17/T$22</f>
        <v>6.9490485363629699E-3</v>
      </c>
      <c r="U9" s="222">
        <f t="shared" si="8"/>
        <v>6.830146387488324E-3</v>
      </c>
      <c r="V9" s="222">
        <f t="shared" si="8"/>
        <v>3.4909048627848323E-3</v>
      </c>
    </row>
    <row r="10" spans="1:22">
      <c r="B10" t="s">
        <v>231</v>
      </c>
      <c r="C10" s="222">
        <f t="shared" si="3"/>
        <v>9.8770209072094619E-4</v>
      </c>
      <c r="D10" s="222">
        <f t="shared" si="3"/>
        <v>9.52572474889131E-4</v>
      </c>
      <c r="E10" s="222">
        <f t="shared" si="3"/>
        <v>1.1686495543733945E-3</v>
      </c>
      <c r="F10" s="222">
        <f t="shared" si="3"/>
        <v>1.1628003554846802E-3</v>
      </c>
      <c r="G10" s="222">
        <f t="shared" ref="G10:V11" si="10">G18/G$22</f>
        <v>1.1321832506242346E-3</v>
      </c>
      <c r="H10" s="222">
        <f t="shared" si="10"/>
        <v>1.1343794815621175E-3</v>
      </c>
      <c r="I10" s="222">
        <f t="shared" si="10"/>
        <v>1.2133208415807859E-3</v>
      </c>
      <c r="J10" s="222">
        <f t="shared" si="10"/>
        <v>1.2836421884873689E-3</v>
      </c>
      <c r="K10" s="222">
        <f t="shared" si="10"/>
        <v>2.093691572028294E-3</v>
      </c>
      <c r="L10" s="222">
        <f t="shared" si="10"/>
        <v>3.4481485226927977E-3</v>
      </c>
      <c r="M10" s="222">
        <f t="shared" si="10"/>
        <v>3.9246700983091862E-3</v>
      </c>
      <c r="N10" s="222">
        <f t="shared" si="10"/>
        <v>3.5661498990819263E-3</v>
      </c>
      <c r="O10" s="222">
        <f t="shared" si="10"/>
        <v>3.0541946250260098E-3</v>
      </c>
      <c r="P10" s="222">
        <f t="shared" si="10"/>
        <v>2.9946737350256651E-3</v>
      </c>
      <c r="Q10" s="222">
        <f t="shared" si="10"/>
        <v>3.4762522246472101E-3</v>
      </c>
      <c r="R10" s="222">
        <f t="shared" si="10"/>
        <v>5.1166469837325658E-3</v>
      </c>
      <c r="S10" s="222">
        <f t="shared" si="10"/>
        <v>5.0632952594817197E-3</v>
      </c>
      <c r="T10" s="222">
        <f t="shared" ref="T10" si="11">T18/T$22</f>
        <v>4.927361698124637E-3</v>
      </c>
      <c r="U10" s="222">
        <f t="shared" si="10"/>
        <v>5.0056633296158351E-3</v>
      </c>
      <c r="V10" s="222">
        <f t="shared" si="10"/>
        <v>1.1541461066802757E-3</v>
      </c>
    </row>
    <row r="11" spans="1:22">
      <c r="B11" t="s">
        <v>234</v>
      </c>
      <c r="C11" s="23"/>
      <c r="D11" s="23"/>
      <c r="E11" s="23"/>
      <c r="F11" s="23"/>
      <c r="G11" s="222">
        <f t="shared" si="10"/>
        <v>4.9253869452473295E-3</v>
      </c>
      <c r="H11" s="222">
        <f t="shared" si="10"/>
        <v>4.5561238808001087E-3</v>
      </c>
      <c r="I11" s="222">
        <f t="shared" si="10"/>
        <v>4.743782613505468E-3</v>
      </c>
      <c r="J11" s="222">
        <f t="shared" si="10"/>
        <v>4.6027010742574984E-3</v>
      </c>
      <c r="K11" s="222">
        <f t="shared" si="10"/>
        <v>6.0416225373035584E-3</v>
      </c>
      <c r="L11" s="222">
        <f t="shared" si="10"/>
        <v>6.2835125403229927E-3</v>
      </c>
      <c r="M11" s="222">
        <f t="shared" si="10"/>
        <v>6.0401931491463542E-3</v>
      </c>
      <c r="N11" s="222">
        <f t="shared" si="10"/>
        <v>5.5323514650622314E-3</v>
      </c>
      <c r="O11" s="222">
        <f t="shared" si="10"/>
        <v>5.4289890662882288E-3</v>
      </c>
      <c r="P11" s="222">
        <f t="shared" si="10"/>
        <v>5.7269299780455252E-3</v>
      </c>
      <c r="Q11" s="222">
        <f t="shared" si="10"/>
        <v>5.3316375527973341E-3</v>
      </c>
      <c r="R11" s="222">
        <f t="shared" si="10"/>
        <v>5.6501802605485735E-3</v>
      </c>
      <c r="S11" s="222">
        <f t="shared" si="10"/>
        <v>8.0911198305381564E-3</v>
      </c>
      <c r="T11" s="222">
        <f t="shared" ref="T11" si="12">T19/T$22</f>
        <v>1.0478421892757413E-2</v>
      </c>
      <c r="U11" s="222">
        <f t="shared" si="10"/>
        <v>1.0373921656188336E-2</v>
      </c>
      <c r="V11" s="222">
        <f t="shared" si="10"/>
        <v>6.7145275223787189E-3</v>
      </c>
    </row>
    <row r="12" spans="1:22">
      <c r="C12" s="23"/>
      <c r="D12" s="23"/>
      <c r="E12" s="23"/>
      <c r="F12" s="23"/>
      <c r="G12" s="23"/>
      <c r="H12" s="23"/>
      <c r="I12" s="23"/>
      <c r="J12" s="23"/>
      <c r="K12" s="23"/>
      <c r="L12" s="23"/>
      <c r="M12" s="23"/>
      <c r="N12" s="23"/>
      <c r="O12" s="23"/>
      <c r="P12" s="23"/>
      <c r="Q12" s="23"/>
      <c r="R12" s="23"/>
      <c r="S12" s="23"/>
      <c r="T12" s="23"/>
      <c r="U12" s="23"/>
    </row>
    <row r="13" spans="1:22">
      <c r="A13" s="55"/>
      <c r="B13" s="601" t="s">
        <v>630</v>
      </c>
      <c r="C13" s="23"/>
      <c r="D13" s="23"/>
      <c r="E13" s="23"/>
      <c r="F13" s="23"/>
      <c r="G13" s="23"/>
      <c r="H13" s="23"/>
      <c r="I13" s="23"/>
      <c r="J13" s="23"/>
      <c r="K13" s="23"/>
      <c r="L13" s="23"/>
      <c r="M13" s="23"/>
      <c r="N13" s="23"/>
      <c r="O13" s="23"/>
      <c r="P13" s="23"/>
      <c r="Q13" s="23"/>
      <c r="R13" s="23"/>
      <c r="S13" s="23"/>
      <c r="T13" s="23"/>
      <c r="U13" s="23"/>
    </row>
    <row r="14" spans="1:22">
      <c r="A14" s="9"/>
      <c r="B14" t="s">
        <v>93</v>
      </c>
      <c r="C14" s="23">
        <v>451.18</v>
      </c>
      <c r="D14" s="23">
        <v>455.44</v>
      </c>
      <c r="E14" s="23">
        <v>480.2</v>
      </c>
      <c r="F14" s="23">
        <v>530.1</v>
      </c>
      <c r="G14" s="23">
        <v>564.70000000000005</v>
      </c>
      <c r="H14" s="23">
        <v>699.63797131000001</v>
      </c>
      <c r="I14" s="23">
        <v>818.7</v>
      </c>
      <c r="J14" s="23">
        <v>968.2</v>
      </c>
      <c r="K14" s="23">
        <v>1053.4000000000001</v>
      </c>
      <c r="L14" s="23">
        <v>1003.8</v>
      </c>
      <c r="M14" s="23">
        <v>1051.404</v>
      </c>
      <c r="N14" s="23">
        <v>1192.807</v>
      </c>
      <c r="O14" s="23">
        <v>1317.3725934100003</v>
      </c>
      <c r="P14" s="23">
        <v>1506.3673522700001</v>
      </c>
      <c r="Q14" s="23">
        <v>1549.3570559300001</v>
      </c>
      <c r="R14" s="23">
        <v>1574.8667999999998</v>
      </c>
      <c r="S14" s="23">
        <v>1689.7566837499999</v>
      </c>
      <c r="T14" s="23">
        <v>1773.16475186</v>
      </c>
      <c r="U14" s="23">
        <v>1859.7792688</v>
      </c>
      <c r="V14" s="684">
        <v>1179.39369164</v>
      </c>
    </row>
    <row r="15" spans="1:22">
      <c r="A15" s="9"/>
      <c r="B15" t="s">
        <v>94</v>
      </c>
      <c r="C15" s="23">
        <v>799.2</v>
      </c>
      <c r="D15" s="23">
        <v>866.3</v>
      </c>
      <c r="E15" s="23">
        <v>903.9</v>
      </c>
      <c r="F15" s="23">
        <v>960.3</v>
      </c>
      <c r="G15" s="23">
        <v>1026.2</v>
      </c>
      <c r="H15" s="23">
        <v>1169.91687596</v>
      </c>
      <c r="I15" s="23">
        <v>1362.5</v>
      </c>
      <c r="J15" s="23">
        <v>1506.8</v>
      </c>
      <c r="K15" s="23">
        <v>1615.21</v>
      </c>
      <c r="L15" s="23">
        <v>1423.2</v>
      </c>
      <c r="M15" s="23">
        <v>1566.3409999999999</v>
      </c>
      <c r="N15" s="23">
        <v>1801.4960000000001</v>
      </c>
      <c r="O15" s="23">
        <v>1860.8935053199998</v>
      </c>
      <c r="P15" s="23">
        <v>1901.6537691999999</v>
      </c>
      <c r="Q15" s="23">
        <v>1909.9882757399998</v>
      </c>
      <c r="R15" s="23">
        <v>1934.3254999999999</v>
      </c>
      <c r="S15" s="23">
        <v>1853.8765296699999</v>
      </c>
      <c r="T15" s="23">
        <v>1946.9405661500002</v>
      </c>
      <c r="U15" s="23">
        <v>2103.383634329</v>
      </c>
      <c r="V15" s="684">
        <v>1103.33149284</v>
      </c>
    </row>
    <row r="16" spans="1:22">
      <c r="A16" s="9"/>
      <c r="B16" t="s">
        <v>232</v>
      </c>
      <c r="C16" s="23">
        <v>140.47999999999999</v>
      </c>
      <c r="D16" s="23">
        <v>146</v>
      </c>
      <c r="E16" s="23">
        <v>154.80000000000001</v>
      </c>
      <c r="F16" s="23">
        <v>177.6</v>
      </c>
      <c r="G16" s="23">
        <v>177.1</v>
      </c>
      <c r="H16" s="23">
        <v>180.85312601999996</v>
      </c>
      <c r="I16" s="23">
        <v>199.7</v>
      </c>
      <c r="J16" s="23">
        <v>203.84</v>
      </c>
      <c r="K16" s="23">
        <v>178.8</v>
      </c>
      <c r="L16" s="23">
        <v>138</v>
      </c>
      <c r="M16" s="23">
        <v>150.53899999999999</v>
      </c>
      <c r="N16" s="23">
        <v>167.346</v>
      </c>
      <c r="O16" s="23">
        <v>179.59236576000004</v>
      </c>
      <c r="P16" s="23">
        <v>199.20825922000003</v>
      </c>
      <c r="Q16" s="23">
        <v>181.28257818999998</v>
      </c>
      <c r="R16" s="23">
        <v>194.17580000000001</v>
      </c>
      <c r="S16" s="23">
        <v>206.47533188</v>
      </c>
      <c r="T16" s="23">
        <v>210.81341880999997</v>
      </c>
      <c r="U16" s="23">
        <v>227.42140884</v>
      </c>
      <c r="V16" s="684">
        <v>107.66271146</v>
      </c>
    </row>
    <row r="17" spans="1:23">
      <c r="A17" s="9"/>
      <c r="B17" t="s">
        <v>233</v>
      </c>
      <c r="C17" s="23">
        <v>48.731428571428566</v>
      </c>
      <c r="D17" s="23">
        <v>49.2</v>
      </c>
      <c r="E17" s="23">
        <v>66.5</v>
      </c>
      <c r="F17" s="23">
        <v>61.7</v>
      </c>
      <c r="G17" s="23">
        <v>74.2</v>
      </c>
      <c r="H17" s="23">
        <v>95.354366549999995</v>
      </c>
      <c r="I17" s="23">
        <v>97.4</v>
      </c>
      <c r="J17" s="23">
        <v>97.78</v>
      </c>
      <c r="K17" s="23">
        <v>95.78</v>
      </c>
      <c r="L17" s="23">
        <v>99.7</v>
      </c>
      <c r="M17" s="23">
        <v>119.688</v>
      </c>
      <c r="N17" s="23">
        <v>140.40199999999999</v>
      </c>
      <c r="O17" s="23">
        <v>146.08819869000001</v>
      </c>
      <c r="P17" s="23">
        <v>145.06987382999998</v>
      </c>
      <c r="Q17" s="23">
        <v>149.38752946</v>
      </c>
      <c r="R17" s="23">
        <v>162.32990000000001</v>
      </c>
      <c r="S17" s="23">
        <v>170.15184858000001</v>
      </c>
      <c r="T17" s="23">
        <v>173.22567344300003</v>
      </c>
      <c r="U17" s="23">
        <v>177.97271461</v>
      </c>
      <c r="V17" s="684">
        <v>93.712293769999988</v>
      </c>
      <c r="W17" s="23"/>
    </row>
    <row r="18" spans="1:23">
      <c r="A18" s="9"/>
      <c r="B18" t="s">
        <v>231</v>
      </c>
      <c r="C18" s="23">
        <v>11.64</v>
      </c>
      <c r="D18" s="23">
        <v>11.7</v>
      </c>
      <c r="E18" s="23">
        <v>14.8</v>
      </c>
      <c r="F18" s="23">
        <v>15.4</v>
      </c>
      <c r="G18" s="23">
        <v>15.539000000000001</v>
      </c>
      <c r="H18" s="23">
        <v>16.673109620000002</v>
      </c>
      <c r="I18" s="23">
        <v>19.413</v>
      </c>
      <c r="J18" s="23">
        <v>21.837</v>
      </c>
      <c r="K18" s="23">
        <v>37.658999999999999</v>
      </c>
      <c r="L18" s="23">
        <v>60.692999999999998</v>
      </c>
      <c r="M18" s="23">
        <v>72.402000000000001</v>
      </c>
      <c r="N18" s="23">
        <v>72.334999999999994</v>
      </c>
      <c r="O18" s="23">
        <v>65.317464380000004</v>
      </c>
      <c r="P18" s="23">
        <v>65.855750319999999</v>
      </c>
      <c r="Q18" s="23">
        <v>78.540600350000005</v>
      </c>
      <c r="R18" s="23">
        <v>119.92519999999999</v>
      </c>
      <c r="S18" s="23">
        <v>122.29939066</v>
      </c>
      <c r="T18" s="23">
        <v>122.82912459000001</v>
      </c>
      <c r="U18" s="23">
        <v>130.43226904000002</v>
      </c>
      <c r="V18" s="684">
        <v>30.982705989999999</v>
      </c>
    </row>
    <row r="19" spans="1:23">
      <c r="A19" s="9"/>
      <c r="B19" t="s">
        <v>234</v>
      </c>
      <c r="C19" s="23"/>
      <c r="D19" s="23"/>
      <c r="E19" s="23"/>
      <c r="F19" s="23"/>
      <c r="G19" s="23">
        <v>67.599999999999994</v>
      </c>
      <c r="H19" s="23">
        <v>66.965908799999994</v>
      </c>
      <c r="I19" s="23">
        <v>75.900000000000006</v>
      </c>
      <c r="J19" s="23">
        <v>78.3</v>
      </c>
      <c r="K19" s="23">
        <v>108.67</v>
      </c>
      <c r="L19" s="23">
        <v>110.6</v>
      </c>
      <c r="M19" s="23">
        <v>111.429</v>
      </c>
      <c r="N19" s="23">
        <v>112.21699999999998</v>
      </c>
      <c r="O19" s="23">
        <v>116.10517452000002</v>
      </c>
      <c r="P19" s="23">
        <v>125.94068807000002</v>
      </c>
      <c r="Q19" s="23">
        <v>120.4601931</v>
      </c>
      <c r="R19" s="23">
        <v>132.43028099</v>
      </c>
      <c r="S19" s="23">
        <v>195.43379841000001</v>
      </c>
      <c r="T19" s="23">
        <v>261.20578659</v>
      </c>
      <c r="U19" s="23">
        <v>270.31265416000008</v>
      </c>
      <c r="V19" s="684">
        <v>180.24947698</v>
      </c>
    </row>
    <row r="20" spans="1:23">
      <c r="A20" s="9"/>
      <c r="C20" s="23"/>
      <c r="D20" s="23"/>
      <c r="E20" s="23"/>
      <c r="F20" s="23"/>
      <c r="G20" s="23"/>
      <c r="H20" s="23"/>
      <c r="I20" s="23"/>
      <c r="J20" s="23"/>
      <c r="K20" s="23"/>
      <c r="L20" s="23"/>
      <c r="M20" s="23"/>
      <c r="N20" s="23"/>
      <c r="O20" s="23"/>
      <c r="P20" s="23"/>
      <c r="Q20" s="23"/>
      <c r="R20" s="23"/>
      <c r="S20" s="23"/>
      <c r="T20" s="23"/>
      <c r="U20" s="23"/>
    </row>
    <row r="21" spans="1:23">
      <c r="A21" s="9"/>
      <c r="C21" s="618"/>
      <c r="D21" s="618"/>
      <c r="E21" s="618"/>
      <c r="F21" s="618"/>
      <c r="G21" s="618"/>
      <c r="H21" s="618"/>
      <c r="I21" s="618"/>
      <c r="J21" s="618"/>
      <c r="K21" s="618"/>
      <c r="L21" s="618"/>
      <c r="M21" s="618"/>
      <c r="N21" s="618"/>
      <c r="O21" s="618"/>
      <c r="P21" s="618"/>
      <c r="Q21" s="618"/>
      <c r="R21" s="618"/>
      <c r="S21" s="618"/>
      <c r="T21" s="618"/>
      <c r="U21" s="618"/>
    </row>
    <row r="22" spans="1:23">
      <c r="A22" s="9"/>
      <c r="B22" t="s">
        <v>194</v>
      </c>
      <c r="C22" s="617">
        <v>11784.93</v>
      </c>
      <c r="D22" s="617">
        <v>12282.53</v>
      </c>
      <c r="E22" s="617">
        <v>12664.19</v>
      </c>
      <c r="F22" s="617">
        <v>13243.89</v>
      </c>
      <c r="G22" s="617">
        <v>13724.81</v>
      </c>
      <c r="H22" s="617">
        <v>14698</v>
      </c>
      <c r="I22" s="617">
        <v>15999.89</v>
      </c>
      <c r="J22" s="617">
        <v>17011.75</v>
      </c>
      <c r="K22" s="617">
        <v>17986.89</v>
      </c>
      <c r="L22" s="617">
        <v>17601.62</v>
      </c>
      <c r="M22" s="617">
        <v>18447.919999999998</v>
      </c>
      <c r="N22" s="617">
        <v>20283.78</v>
      </c>
      <c r="O22" s="617">
        <v>21386.15</v>
      </c>
      <c r="P22" s="617">
        <v>21990.959999999999</v>
      </c>
      <c r="Q22" s="617">
        <v>22593.47</v>
      </c>
      <c r="R22" s="617">
        <v>23438.240000000002</v>
      </c>
      <c r="S22" s="617">
        <v>24154.11</v>
      </c>
      <c r="T22" s="617">
        <v>24927.97</v>
      </c>
      <c r="U22" s="617">
        <v>26056.94</v>
      </c>
      <c r="V22" s="617">
        <v>26844.7</v>
      </c>
    </row>
    <row r="23" spans="1:23">
      <c r="A23" s="9"/>
    </row>
    <row r="26" spans="1:23">
      <c r="B26" s="220" t="s">
        <v>660</v>
      </c>
      <c r="C26" s="23">
        <v>11.56</v>
      </c>
      <c r="D26" s="23">
        <v>11.6</v>
      </c>
      <c r="E26" s="23">
        <v>13</v>
      </c>
      <c r="F26" s="23">
        <v>14.5</v>
      </c>
      <c r="G26" s="23">
        <v>15.3</v>
      </c>
      <c r="H26" s="23">
        <v>16.34910962</v>
      </c>
      <c r="I26" s="23">
        <v>18.600000000000001</v>
      </c>
      <c r="J26" s="23">
        <v>20.97</v>
      </c>
      <c r="K26" s="23">
        <v>17.79</v>
      </c>
      <c r="L26" s="23">
        <v>13.42</v>
      </c>
      <c r="M26" s="23">
        <v>16.094999999999999</v>
      </c>
      <c r="N26" s="23">
        <v>16.349</v>
      </c>
      <c r="O26" s="23">
        <v>19.880959610000001</v>
      </c>
      <c r="P26" s="23">
        <v>20.735889919999998</v>
      </c>
      <c r="Q26" s="23">
        <v>24.410846100000001</v>
      </c>
      <c r="R26" s="23">
        <v>20.433499999999999</v>
      </c>
      <c r="S26" s="23">
        <v>22.665383559999995</v>
      </c>
      <c r="T26" s="221">
        <v>22.586012730000004</v>
      </c>
      <c r="U26" s="221">
        <v>11.497068110000001</v>
      </c>
      <c r="V26" s="684">
        <v>14.394465760000001</v>
      </c>
    </row>
    <row r="27" spans="1:23">
      <c r="B27" s="220" t="s">
        <v>231</v>
      </c>
      <c r="C27" s="23">
        <v>0.08</v>
      </c>
      <c r="D27" s="23">
        <v>0.1</v>
      </c>
      <c r="E27" s="23">
        <v>1.8</v>
      </c>
      <c r="F27" s="23">
        <v>0.9</v>
      </c>
      <c r="G27" s="23">
        <v>0.23899999999999999</v>
      </c>
      <c r="H27" s="23">
        <v>0.32400000000000001</v>
      </c>
      <c r="I27" s="23">
        <v>0.81299999999999994</v>
      </c>
      <c r="J27" s="23">
        <v>0.86699999999999999</v>
      </c>
      <c r="K27" s="23">
        <v>19.869</v>
      </c>
      <c r="L27" s="23">
        <v>47.272999999999996</v>
      </c>
      <c r="M27" s="23">
        <v>56.307000000000002</v>
      </c>
      <c r="N27" s="23">
        <v>55.985999999999997</v>
      </c>
      <c r="O27" s="23">
        <v>45.436504769999999</v>
      </c>
      <c r="P27" s="23">
        <v>45.119860399999993</v>
      </c>
      <c r="Q27" s="23">
        <v>54.129754250000005</v>
      </c>
      <c r="R27" s="23">
        <v>99.491699999999994</v>
      </c>
      <c r="S27" s="23">
        <v>99.634007100000005</v>
      </c>
      <c r="T27" s="221">
        <v>100.24311186</v>
      </c>
      <c r="U27" s="221">
        <v>53.220192839999996</v>
      </c>
      <c r="V27" s="684">
        <v>16.588240229999997</v>
      </c>
    </row>
    <row r="28" spans="1:23">
      <c r="B28" s="220" t="s">
        <v>231</v>
      </c>
      <c r="C28" s="23">
        <f t="shared" ref="C28:V28" si="13">+C26+C27</f>
        <v>11.64</v>
      </c>
      <c r="D28" s="23">
        <f t="shared" si="13"/>
        <v>11.7</v>
      </c>
      <c r="E28" s="23">
        <f t="shared" si="13"/>
        <v>14.8</v>
      </c>
      <c r="F28" s="23">
        <f t="shared" si="13"/>
        <v>15.4</v>
      </c>
      <c r="G28" s="23">
        <f t="shared" si="13"/>
        <v>15.539000000000001</v>
      </c>
      <c r="H28" s="23">
        <f t="shared" si="13"/>
        <v>16.673109620000002</v>
      </c>
      <c r="I28" s="23">
        <f t="shared" si="13"/>
        <v>19.413</v>
      </c>
      <c r="J28" s="23">
        <f t="shared" si="13"/>
        <v>21.837</v>
      </c>
      <c r="K28" s="23">
        <f t="shared" si="13"/>
        <v>37.658999999999999</v>
      </c>
      <c r="L28" s="23">
        <f t="shared" si="13"/>
        <v>60.692999999999998</v>
      </c>
      <c r="M28" s="23">
        <f t="shared" si="13"/>
        <v>72.402000000000001</v>
      </c>
      <c r="N28" s="23">
        <f t="shared" si="13"/>
        <v>72.334999999999994</v>
      </c>
      <c r="O28" s="23">
        <f t="shared" si="13"/>
        <v>65.317464380000004</v>
      </c>
      <c r="P28" s="23">
        <f t="shared" si="13"/>
        <v>65.855750319999999</v>
      </c>
      <c r="Q28" s="23">
        <f t="shared" si="13"/>
        <v>78.540600350000005</v>
      </c>
      <c r="R28" s="23">
        <f t="shared" si="13"/>
        <v>119.92519999999999</v>
      </c>
      <c r="S28" s="23">
        <f t="shared" si="13"/>
        <v>122.29939066</v>
      </c>
      <c r="T28" s="221">
        <f t="shared" ref="T28" si="14">+T26+T27</f>
        <v>122.82912459000001</v>
      </c>
      <c r="U28" s="221">
        <f t="shared" si="13"/>
        <v>64.717260949999996</v>
      </c>
      <c r="V28" s="684">
        <f t="shared" si="13"/>
        <v>30.982705989999999</v>
      </c>
    </row>
    <row r="43" spans="16:26">
      <c r="P43" t="s">
        <v>194</v>
      </c>
      <c r="Q43" t="s">
        <v>847</v>
      </c>
      <c r="R43" t="s">
        <v>94</v>
      </c>
      <c r="S43" t="s">
        <v>93</v>
      </c>
      <c r="T43" t="s">
        <v>232</v>
      </c>
      <c r="U43" t="s">
        <v>233</v>
      </c>
      <c r="V43" t="s">
        <v>234</v>
      </c>
      <c r="W43" t="s">
        <v>231</v>
      </c>
      <c r="Z43" t="s">
        <v>194</v>
      </c>
    </row>
    <row r="44" spans="16:26">
      <c r="P44" s="23">
        <v>11784.93</v>
      </c>
      <c r="Q44" s="23"/>
      <c r="R44" s="23">
        <v>799.2</v>
      </c>
      <c r="S44" s="23">
        <v>451.18</v>
      </c>
      <c r="T44" s="23">
        <v>140.47999999999999</v>
      </c>
      <c r="U44" s="23">
        <v>48.731428571428566</v>
      </c>
      <c r="V44" s="23"/>
      <c r="W44" s="23">
        <v>11.64</v>
      </c>
      <c r="Z44">
        <v>11784.93</v>
      </c>
    </row>
    <row r="45" spans="16:26">
      <c r="P45" s="23">
        <v>12282.53</v>
      </c>
      <c r="Q45" s="23"/>
      <c r="R45" s="23">
        <v>866.3</v>
      </c>
      <c r="S45" s="23">
        <v>455.44</v>
      </c>
      <c r="T45" s="23">
        <v>146</v>
      </c>
      <c r="U45" s="23">
        <v>49.2</v>
      </c>
      <c r="V45" s="23"/>
      <c r="W45" s="23">
        <v>11.7</v>
      </c>
      <c r="Z45">
        <v>12282.53</v>
      </c>
    </row>
    <row r="46" spans="16:26">
      <c r="P46" s="23">
        <v>12664.19</v>
      </c>
      <c r="Q46" s="23"/>
      <c r="R46" s="23">
        <v>903.9</v>
      </c>
      <c r="S46" s="23">
        <v>480.2</v>
      </c>
      <c r="T46" s="23">
        <v>154.80000000000001</v>
      </c>
      <c r="U46" s="23">
        <v>66.5</v>
      </c>
      <c r="V46" s="23"/>
      <c r="W46" s="23">
        <v>14.8</v>
      </c>
      <c r="Z46">
        <v>12664.19</v>
      </c>
    </row>
    <row r="47" spans="16:26">
      <c r="P47" s="23">
        <v>13243.89</v>
      </c>
      <c r="Q47" s="23"/>
      <c r="R47" s="23">
        <v>960.3</v>
      </c>
      <c r="S47" s="23">
        <v>530.1</v>
      </c>
      <c r="T47" s="23">
        <v>177.6</v>
      </c>
      <c r="U47" s="23">
        <v>61.7</v>
      </c>
      <c r="V47" s="23"/>
      <c r="W47" s="23">
        <v>15.4</v>
      </c>
      <c r="Z47">
        <v>13243.89</v>
      </c>
    </row>
    <row r="48" spans="16:26">
      <c r="P48" s="23">
        <v>13724.81</v>
      </c>
      <c r="Q48" s="23"/>
      <c r="R48" s="23">
        <v>1026.2</v>
      </c>
      <c r="S48" s="23">
        <v>564.70000000000005</v>
      </c>
      <c r="T48" s="23">
        <v>177.1</v>
      </c>
      <c r="U48" s="23">
        <v>74.2</v>
      </c>
      <c r="V48" s="23">
        <v>67.599999999999994</v>
      </c>
      <c r="W48" s="23">
        <v>15.539000000000001</v>
      </c>
      <c r="Z48">
        <v>13724.81</v>
      </c>
    </row>
    <row r="49" spans="16:26">
      <c r="P49" s="23">
        <v>14698</v>
      </c>
      <c r="Q49" s="23"/>
      <c r="R49" s="23">
        <v>1169.91687596</v>
      </c>
      <c r="S49" s="23">
        <v>699.63797131000001</v>
      </c>
      <c r="T49" s="23">
        <v>180.85312601999996</v>
      </c>
      <c r="U49" s="23">
        <v>95.354366549999995</v>
      </c>
      <c r="V49" s="23">
        <v>66.965908799999994</v>
      </c>
      <c r="W49" s="23">
        <v>16.673109620000002</v>
      </c>
      <c r="Z49">
        <v>14698</v>
      </c>
    </row>
    <row r="50" spans="16:26">
      <c r="P50" s="23">
        <v>15999.89</v>
      </c>
      <c r="Q50" s="23"/>
      <c r="R50" s="23">
        <v>1362.5</v>
      </c>
      <c r="S50" s="23">
        <v>818.7</v>
      </c>
      <c r="T50" s="23">
        <v>199.7</v>
      </c>
      <c r="U50" s="23">
        <v>97.4</v>
      </c>
      <c r="V50" s="23">
        <v>75.900000000000006</v>
      </c>
      <c r="W50" s="23">
        <v>19.413</v>
      </c>
      <c r="Z50">
        <v>15999.89</v>
      </c>
    </row>
    <row r="51" spans="16:26">
      <c r="P51" s="23">
        <v>17011.75</v>
      </c>
      <c r="Q51" s="23"/>
      <c r="R51" s="23">
        <v>1506.8</v>
      </c>
      <c r="S51" s="23">
        <v>968.2</v>
      </c>
      <c r="T51" s="23">
        <v>203.84</v>
      </c>
      <c r="U51" s="23">
        <v>97.78</v>
      </c>
      <c r="V51" s="23">
        <v>78.3</v>
      </c>
      <c r="W51" s="23">
        <v>21.837</v>
      </c>
      <c r="Z51">
        <v>17011.75</v>
      </c>
    </row>
    <row r="52" spans="16:26">
      <c r="P52" s="23">
        <v>17986.89</v>
      </c>
      <c r="Q52" s="23"/>
      <c r="R52" s="23">
        <v>1615.21</v>
      </c>
      <c r="S52" s="23">
        <v>1053.4000000000001</v>
      </c>
      <c r="T52" s="23">
        <v>178.8</v>
      </c>
      <c r="U52" s="23">
        <v>95.78</v>
      </c>
      <c r="V52" s="23">
        <v>108.67</v>
      </c>
      <c r="W52" s="23">
        <v>37.658999999999999</v>
      </c>
      <c r="Z52">
        <v>17986.89</v>
      </c>
    </row>
    <row r="53" spans="16:26">
      <c r="P53" s="23">
        <v>17601.62</v>
      </c>
      <c r="Q53" s="23"/>
      <c r="R53" s="23">
        <v>1423.2</v>
      </c>
      <c r="S53" s="23">
        <v>1003.8</v>
      </c>
      <c r="T53" s="23">
        <v>138</v>
      </c>
      <c r="U53" s="23">
        <v>99.7</v>
      </c>
      <c r="V53" s="23">
        <v>110.6</v>
      </c>
      <c r="W53" s="23">
        <v>60.692999999999998</v>
      </c>
      <c r="Z53">
        <v>17601.62</v>
      </c>
    </row>
    <row r="54" spans="16:26">
      <c r="P54" s="23">
        <v>18447.919999999998</v>
      </c>
      <c r="Q54" s="23"/>
      <c r="R54" s="23">
        <v>1566.3409999999999</v>
      </c>
      <c r="S54" s="23">
        <v>1051.404</v>
      </c>
      <c r="T54" s="23">
        <v>150.53899999999999</v>
      </c>
      <c r="U54" s="23">
        <v>119.688</v>
      </c>
      <c r="V54" s="23">
        <v>111.429</v>
      </c>
      <c r="W54" s="23">
        <v>72.402000000000001</v>
      </c>
      <c r="Z54">
        <v>18447.919999999998</v>
      </c>
    </row>
    <row r="55" spans="16:26">
      <c r="P55" s="23">
        <v>20283.78</v>
      </c>
      <c r="Q55" s="23"/>
      <c r="R55" s="23">
        <v>1801.4960000000001</v>
      </c>
      <c r="S55" s="23">
        <v>1192.807</v>
      </c>
      <c r="T55" s="23">
        <v>167.346</v>
      </c>
      <c r="U55" s="23">
        <v>140.40199999999999</v>
      </c>
      <c r="V55" s="23">
        <v>112.21699999999998</v>
      </c>
      <c r="W55" s="23">
        <v>72.334999999999994</v>
      </c>
      <c r="Z55">
        <v>20283.78</v>
      </c>
    </row>
    <row r="56" spans="16:26">
      <c r="P56" s="23">
        <v>21386.15</v>
      </c>
      <c r="Q56" s="23"/>
      <c r="R56" s="23">
        <v>1860.8935053199998</v>
      </c>
      <c r="S56" s="23">
        <v>1317.3725934100003</v>
      </c>
      <c r="T56" s="23">
        <v>179.59236576000004</v>
      </c>
      <c r="U56" s="23">
        <v>146.08819869000001</v>
      </c>
      <c r="V56" s="23">
        <v>116.10517452000002</v>
      </c>
      <c r="W56" s="23">
        <v>65.317464380000004</v>
      </c>
      <c r="Z56">
        <v>21386.15</v>
      </c>
    </row>
    <row r="57" spans="16:26">
      <c r="P57" s="23">
        <v>21990.959999999999</v>
      </c>
      <c r="Q57" s="23"/>
      <c r="R57" s="23">
        <v>1901.6537691999999</v>
      </c>
      <c r="S57" s="23">
        <v>1506.3673522700001</v>
      </c>
      <c r="T57" s="23">
        <v>199.20825922000003</v>
      </c>
      <c r="U57" s="23">
        <v>145.06987382999998</v>
      </c>
      <c r="V57" s="23">
        <v>125.94068807000002</v>
      </c>
      <c r="W57" s="23">
        <v>65.855750319999999</v>
      </c>
      <c r="Z57">
        <v>21990.959999999999</v>
      </c>
    </row>
    <row r="58" spans="16:26">
      <c r="P58" s="23">
        <v>22593.47</v>
      </c>
      <c r="Q58" s="23"/>
      <c r="R58" s="23">
        <v>1909.9882757399998</v>
      </c>
      <c r="S58" s="23">
        <v>1549.3570559300001</v>
      </c>
      <c r="T58" s="23">
        <v>181.28257818999998</v>
      </c>
      <c r="U58" s="23">
        <v>149.38752946</v>
      </c>
      <c r="V58" s="23">
        <v>120.4601931</v>
      </c>
      <c r="W58" s="23">
        <v>78.540600350000005</v>
      </c>
      <c r="Z58">
        <v>22593.47</v>
      </c>
    </row>
    <row r="59" spans="16:26">
      <c r="P59" s="23">
        <v>23438.240000000002</v>
      </c>
      <c r="Q59" s="23"/>
      <c r="R59" s="23">
        <v>1934.3254999999999</v>
      </c>
      <c r="S59" s="23">
        <v>1574.8667999999998</v>
      </c>
      <c r="T59" s="23">
        <v>194.17580000000001</v>
      </c>
      <c r="U59" s="23">
        <v>162.32990000000001</v>
      </c>
      <c r="V59" s="23">
        <v>132.43028099</v>
      </c>
      <c r="W59" s="23">
        <v>119.92519999999999</v>
      </c>
      <c r="Z59">
        <v>23438.240000000002</v>
      </c>
    </row>
    <row r="60" spans="16:26">
      <c r="P60" s="23">
        <v>24154.11</v>
      </c>
      <c r="Q60" s="23"/>
      <c r="R60" s="23">
        <v>1853.8765296699999</v>
      </c>
      <c r="S60" s="23">
        <v>1689.7566837499999</v>
      </c>
      <c r="T60" s="23">
        <v>206.47533188</v>
      </c>
      <c r="U60" s="23">
        <v>170.15184858000001</v>
      </c>
      <c r="V60" s="23">
        <v>195.43379841000001</v>
      </c>
      <c r="W60" s="23">
        <v>122.29939066</v>
      </c>
      <c r="Z60">
        <v>24154.11</v>
      </c>
    </row>
    <row r="61" spans="16:26">
      <c r="P61" s="23">
        <v>24927.97</v>
      </c>
      <c r="Q61" s="23"/>
      <c r="R61" s="23">
        <v>1946.9405661500002</v>
      </c>
      <c r="S61" s="23">
        <v>1773.16475186</v>
      </c>
      <c r="T61" s="23">
        <v>210.81341880999997</v>
      </c>
      <c r="U61" s="23">
        <v>173.22567344300003</v>
      </c>
      <c r="V61" s="23">
        <v>261.20578659</v>
      </c>
      <c r="W61" s="23">
        <v>122.82912459000001</v>
      </c>
      <c r="Z61">
        <v>24927.97</v>
      </c>
    </row>
    <row r="62" spans="16:26">
      <c r="P62" s="23">
        <v>26056.94</v>
      </c>
      <c r="Q62" s="23"/>
      <c r="R62" s="23">
        <v>2103.383634329</v>
      </c>
      <c r="S62" s="23">
        <v>1859.7792688</v>
      </c>
      <c r="T62" s="23">
        <v>227.42140884</v>
      </c>
      <c r="U62" s="23">
        <v>177.97271461</v>
      </c>
      <c r="V62" s="23">
        <v>270.31265416000008</v>
      </c>
      <c r="W62" s="23">
        <v>130.43226904000002</v>
      </c>
      <c r="Z62">
        <v>26056.94</v>
      </c>
    </row>
    <row r="63" spans="16:26">
      <c r="P63" s="23">
        <v>26844.7</v>
      </c>
      <c r="Q63" s="23"/>
      <c r="R63" s="23">
        <v>1103.33149284</v>
      </c>
      <c r="S63" s="23">
        <v>1179.39369164</v>
      </c>
      <c r="T63" s="23">
        <v>107.66271146</v>
      </c>
      <c r="U63" s="23">
        <v>93.712293769999988</v>
      </c>
      <c r="V63" s="23">
        <v>180.24947698</v>
      </c>
      <c r="W63" s="23">
        <v>30.982705989999999</v>
      </c>
      <c r="Z63">
        <v>26844.7</v>
      </c>
    </row>
  </sheetData>
  <printOptions horizontalCentered="1"/>
  <pageMargins left="0.7" right="0.7" top="0.75" bottom="0.75" header="0.3" footer="0.3"/>
  <pageSetup scale="5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23"/>
  <sheetViews>
    <sheetView workbookViewId="0">
      <pane xSplit="2" ySplit="5" topLeftCell="R6" activePane="bottomRight" state="frozen"/>
      <selection pane="topRight" activeCell="C1" sqref="C1"/>
      <selection pane="bottomLeft" activeCell="A6" sqref="A6"/>
      <selection pane="bottomRight" activeCell="C6" sqref="C6"/>
    </sheetView>
  </sheetViews>
  <sheetFormatPr baseColWidth="10" defaultRowHeight="15"/>
  <cols>
    <col min="2" max="2" width="30.7109375" customWidth="1"/>
    <col min="3" max="21" width="9.7109375" customWidth="1"/>
  </cols>
  <sheetData>
    <row r="2" spans="1:22">
      <c r="B2" s="219" t="s">
        <v>783</v>
      </c>
    </row>
    <row r="5" spans="1:22">
      <c r="C5" s="601">
        <v>2000</v>
      </c>
      <c r="D5" s="601">
        <v>2001</v>
      </c>
      <c r="E5" s="601">
        <v>2002</v>
      </c>
      <c r="F5" s="601">
        <v>2003</v>
      </c>
      <c r="G5" s="601">
        <v>2004</v>
      </c>
      <c r="H5" s="601">
        <v>2005</v>
      </c>
      <c r="I5" s="601">
        <v>2006</v>
      </c>
      <c r="J5" s="601">
        <v>2007</v>
      </c>
      <c r="K5" s="601">
        <v>2008</v>
      </c>
      <c r="L5" s="601">
        <v>2009</v>
      </c>
      <c r="M5" s="601">
        <v>2010</v>
      </c>
      <c r="N5" s="601">
        <v>2011</v>
      </c>
      <c r="O5" s="601">
        <v>2012</v>
      </c>
      <c r="P5" s="601">
        <v>2013</v>
      </c>
      <c r="Q5" s="601">
        <v>2014</v>
      </c>
      <c r="R5" s="601">
        <v>2015</v>
      </c>
      <c r="S5" s="601">
        <v>2016</v>
      </c>
      <c r="T5" s="601">
        <v>2017</v>
      </c>
      <c r="U5" s="601">
        <v>2018</v>
      </c>
      <c r="V5" s="601" t="s">
        <v>773</v>
      </c>
    </row>
    <row r="6" spans="1:22">
      <c r="B6" t="s">
        <v>93</v>
      </c>
      <c r="C6" s="222">
        <f>C14/C$20</f>
        <v>0.3108945900132104</v>
      </c>
      <c r="D6" s="222">
        <f t="shared" ref="D6:F6" si="0">D14/D$20</f>
        <v>0.2979380364245342</v>
      </c>
      <c r="E6" s="222">
        <f t="shared" si="0"/>
        <v>0.29638316257252195</v>
      </c>
      <c r="F6" s="222">
        <f t="shared" si="0"/>
        <v>0.30376482723053116</v>
      </c>
      <c r="G6" s="222">
        <f t="shared" ref="G6:V11" si="1">G14/G$20</f>
        <v>0.29329899825433342</v>
      </c>
      <c r="H6" s="222">
        <f t="shared" si="1"/>
        <v>0.31382324619020258</v>
      </c>
      <c r="I6" s="222">
        <f t="shared" si="1"/>
        <v>0.31811309625806217</v>
      </c>
      <c r="J6" s="222">
        <f t="shared" si="1"/>
        <v>0.33655953561597307</v>
      </c>
      <c r="K6" s="222">
        <f t="shared" si="1"/>
        <v>0.34095922374971632</v>
      </c>
      <c r="L6" s="222">
        <f t="shared" si="1"/>
        <v>0.35395009790221627</v>
      </c>
      <c r="M6" s="222">
        <f t="shared" si="1"/>
        <v>0.34227585558058249</v>
      </c>
      <c r="N6" s="222">
        <f t="shared" si="1"/>
        <v>0.3421115050953607</v>
      </c>
      <c r="O6" s="222">
        <f t="shared" si="1"/>
        <v>0.35746013097425083</v>
      </c>
      <c r="P6" s="222">
        <f t="shared" si="1"/>
        <v>0.38192971711560697</v>
      </c>
      <c r="Q6" s="222">
        <f t="shared" si="1"/>
        <v>0.38840580371720268</v>
      </c>
      <c r="R6" s="222">
        <f t="shared" si="1"/>
        <v>0.38242990463091175</v>
      </c>
      <c r="S6" s="222">
        <f t="shared" si="1"/>
        <v>0.39871619686922394</v>
      </c>
      <c r="T6" s="222">
        <f t="shared" ref="T6" si="2">T14/T$20</f>
        <v>0.39507439985484083</v>
      </c>
      <c r="U6" s="222">
        <f t="shared" si="1"/>
        <v>0.38994789769730936</v>
      </c>
      <c r="V6" s="222">
        <f t="shared" si="1"/>
        <v>0.43756892604206549</v>
      </c>
    </row>
    <row r="7" spans="1:22">
      <c r="B7" t="s">
        <v>94</v>
      </c>
      <c r="C7" s="222">
        <f t="shared" ref="C7:F10" si="3">C15/C$20</f>
        <v>0.55070472170432594</v>
      </c>
      <c r="D7" s="222">
        <f t="shared" si="3"/>
        <v>0.5667128951224617</v>
      </c>
      <c r="E7" s="222">
        <f t="shared" si="3"/>
        <v>0.55789408714973465</v>
      </c>
      <c r="F7" s="222">
        <f t="shared" si="3"/>
        <v>0.55028365136668378</v>
      </c>
      <c r="G7" s="222">
        <f t="shared" si="1"/>
        <v>0.53299704623445543</v>
      </c>
      <c r="H7" s="222">
        <f t="shared" si="1"/>
        <v>0.52476727513662902</v>
      </c>
      <c r="I7" s="222">
        <f t="shared" si="1"/>
        <v>0.52941137614707423</v>
      </c>
      <c r="J7" s="222">
        <f t="shared" si="1"/>
        <v>0.52378424733128304</v>
      </c>
      <c r="K7" s="222">
        <f t="shared" si="1"/>
        <v>0.52280306416629896</v>
      </c>
      <c r="L7" s="222">
        <f t="shared" si="1"/>
        <v>0.50183480706757744</v>
      </c>
      <c r="M7" s="222">
        <f t="shared" si="1"/>
        <v>0.5099093268676409</v>
      </c>
      <c r="N7" s="222">
        <f t="shared" si="1"/>
        <v>0.51669088795024842</v>
      </c>
      <c r="O7" s="222">
        <f t="shared" si="1"/>
        <v>0.50494084928468985</v>
      </c>
      <c r="P7" s="222">
        <f t="shared" si="1"/>
        <v>0.48215203617357916</v>
      </c>
      <c r="Q7" s="222">
        <f t="shared" si="1"/>
        <v>0.47881185843500335</v>
      </c>
      <c r="R7" s="222">
        <f t="shared" si="1"/>
        <v>0.46971840189287167</v>
      </c>
      <c r="S7" s="222">
        <f t="shared" si="1"/>
        <v>0.43744203321316638</v>
      </c>
      <c r="T7" s="222">
        <f t="shared" ref="T7" si="4">T15/T$20</f>
        <v>0.43379295404891199</v>
      </c>
      <c r="U7" s="222">
        <f t="shared" si="1"/>
        <v>0.44102547007460202</v>
      </c>
      <c r="V7" s="222">
        <f t="shared" si="1"/>
        <v>0.40934895600387294</v>
      </c>
    </row>
    <row r="8" spans="1:22">
      <c r="B8" t="s">
        <v>232</v>
      </c>
      <c r="C8" s="222">
        <f t="shared" si="3"/>
        <v>9.6800549680960579E-2</v>
      </c>
      <c r="D8" s="222">
        <f t="shared" si="3"/>
        <v>9.5509734142767422E-2</v>
      </c>
      <c r="E8" s="222">
        <f t="shared" si="3"/>
        <v>9.5543760029625988E-2</v>
      </c>
      <c r="F8" s="222">
        <f t="shared" si="3"/>
        <v>0.10177067216778407</v>
      </c>
      <c r="G8" s="222">
        <f t="shared" si="1"/>
        <v>9.1983801294213643E-2</v>
      </c>
      <c r="H8" s="222">
        <f t="shared" si="1"/>
        <v>8.1121833603417168E-2</v>
      </c>
      <c r="I8" s="222">
        <f t="shared" si="1"/>
        <v>7.7595193993813372E-2</v>
      </c>
      <c r="J8" s="222">
        <f t="shared" si="1"/>
        <v>7.0857566349886339E-2</v>
      </c>
      <c r="K8" s="222">
        <f t="shared" si="1"/>
        <v>5.787308639305988E-2</v>
      </c>
      <c r="L8" s="222">
        <f t="shared" si="1"/>
        <v>4.8660204732522264E-2</v>
      </c>
      <c r="M8" s="222">
        <f t="shared" si="1"/>
        <v>4.9006723412927194E-2</v>
      </c>
      <c r="N8" s="222">
        <f t="shared" si="1"/>
        <v>4.7996861128152532E-2</v>
      </c>
      <c r="O8" s="222">
        <f t="shared" si="1"/>
        <v>4.873117211310117E-2</v>
      </c>
      <c r="P8" s="222">
        <f t="shared" si="1"/>
        <v>5.0507968044006014E-2</v>
      </c>
      <c r="Q8" s="222">
        <f t="shared" si="1"/>
        <v>4.5445435067612172E-2</v>
      </c>
      <c r="R8" s="222">
        <f t="shared" si="1"/>
        <v>4.715232594631559E-2</v>
      </c>
      <c r="S8" s="222">
        <f t="shared" si="1"/>
        <v>4.8720067135230485E-2</v>
      </c>
      <c r="T8" s="222">
        <f t="shared" ref="T8" si="5">T16/T$20</f>
        <v>4.6970810146289142E-2</v>
      </c>
      <c r="U8" s="222">
        <f t="shared" si="1"/>
        <v>4.7684422423817853E-2</v>
      </c>
      <c r="V8" s="222">
        <f t="shared" si="1"/>
        <v>3.9944131770639373E-2</v>
      </c>
    </row>
    <row r="9" spans="1:22">
      <c r="B9" t="s">
        <v>233</v>
      </c>
      <c r="C9" s="222">
        <f t="shared" si="3"/>
        <v>3.3579364126229735E-2</v>
      </c>
      <c r="D9" s="222">
        <f t="shared" si="3"/>
        <v>3.2185472053590118E-2</v>
      </c>
      <c r="E9" s="222">
        <f t="shared" si="3"/>
        <v>4.104431551660289E-2</v>
      </c>
      <c r="F9" s="222">
        <f t="shared" si="3"/>
        <v>3.5356140049280844E-2</v>
      </c>
      <c r="G9" s="222">
        <f t="shared" si="1"/>
        <v>3.8538667735915598E-2</v>
      </c>
      <c r="H9" s="222">
        <f t="shared" si="1"/>
        <v>4.2771287546187753E-2</v>
      </c>
      <c r="I9" s="222">
        <f t="shared" si="1"/>
        <v>3.7845627916862405E-2</v>
      </c>
      <c r="J9" s="222">
        <f t="shared" si="1"/>
        <v>3.3989662665285941E-2</v>
      </c>
      <c r="K9" s="222">
        <f t="shared" si="1"/>
        <v>3.1001589567825925E-2</v>
      </c>
      <c r="L9" s="222">
        <f t="shared" si="1"/>
        <v>3.5155234868351232E-2</v>
      </c>
      <c r="M9" s="222">
        <f t="shared" si="1"/>
        <v>3.8963436131809234E-2</v>
      </c>
      <c r="N9" s="222">
        <f t="shared" si="1"/>
        <v>4.0268995351635958E-2</v>
      </c>
      <c r="O9" s="222">
        <f t="shared" si="1"/>
        <v>3.9640043294317535E-2</v>
      </c>
      <c r="P9" s="222">
        <f t="shared" si="1"/>
        <v>3.6781529943804618E-2</v>
      </c>
      <c r="Q9" s="222">
        <f t="shared" si="1"/>
        <v>3.7449717108888336E-2</v>
      </c>
      <c r="R9" s="222">
        <f t="shared" si="1"/>
        <v>3.9419084951022809E-2</v>
      </c>
      <c r="S9" s="222">
        <f t="shared" si="1"/>
        <v>4.0149152010173647E-2</v>
      </c>
      <c r="T9" s="222">
        <f t="shared" ref="T9" si="6">T17/T$20</f>
        <v>3.8595978689039107E-2</v>
      </c>
      <c r="U9" s="222">
        <f t="shared" si="1"/>
        <v>3.7316302570913312E-2</v>
      </c>
      <c r="V9" s="222">
        <f t="shared" si="1"/>
        <v>3.4768362788898187E-2</v>
      </c>
    </row>
    <row r="10" spans="1:22">
      <c r="B10" t="s">
        <v>231</v>
      </c>
      <c r="C10" s="222">
        <f t="shared" si="3"/>
        <v>8.0207744752732162E-3</v>
      </c>
      <c r="D10" s="222">
        <f t="shared" si="3"/>
        <v>7.6538622566464298E-3</v>
      </c>
      <c r="E10" s="222">
        <f t="shared" si="3"/>
        <v>9.134674731514629E-3</v>
      </c>
      <c r="F10" s="222">
        <f t="shared" si="3"/>
        <v>8.8247091857200158E-3</v>
      </c>
      <c r="G10" s="222">
        <f t="shared" si="1"/>
        <v>8.0707864952613544E-3</v>
      </c>
      <c r="H10" s="222">
        <f t="shared" si="1"/>
        <v>7.4787384327302132E-3</v>
      </c>
      <c r="I10" s="222">
        <f t="shared" si="1"/>
        <v>7.5430921432243312E-3</v>
      </c>
      <c r="J10" s="222">
        <f t="shared" si="1"/>
        <v>7.5908392679673656E-3</v>
      </c>
      <c r="K10" s="222">
        <f t="shared" si="1"/>
        <v>1.2189276065303366E-2</v>
      </c>
      <c r="L10" s="222">
        <f t="shared" si="1"/>
        <v>2.1400969607470822E-2</v>
      </c>
      <c r="M10" s="222">
        <f t="shared" si="1"/>
        <v>2.3569870854348408E-2</v>
      </c>
      <c r="N10" s="222">
        <f t="shared" si="1"/>
        <v>2.0746554741104734E-2</v>
      </c>
      <c r="O10" s="222">
        <f t="shared" si="1"/>
        <v>1.7723451580045242E-2</v>
      </c>
      <c r="P10" s="222">
        <f t="shared" si="1"/>
        <v>1.6697300331324074E-2</v>
      </c>
      <c r="Q10" s="222">
        <f t="shared" si="1"/>
        <v>1.9689215527574043E-2</v>
      </c>
      <c r="R10" s="222">
        <f t="shared" si="1"/>
        <v>2.912181703166453E-2</v>
      </c>
      <c r="S10" s="222">
        <f t="shared" si="1"/>
        <v>2.8857851779678565E-2</v>
      </c>
      <c r="T10" s="222">
        <f t="shared" ref="T10" si="7">T18/T$20</f>
        <v>2.736724978950018E-2</v>
      </c>
      <c r="U10" s="222">
        <f t="shared" si="1"/>
        <v>2.73482934008915E-2</v>
      </c>
      <c r="V10" s="222">
        <f t="shared" si="1"/>
        <v>1.1494948194160385E-2</v>
      </c>
    </row>
    <row r="11" spans="1:22">
      <c r="B11" t="s">
        <v>234</v>
      </c>
      <c r="C11" s="23"/>
      <c r="D11" s="23"/>
      <c r="E11" s="23"/>
      <c r="F11" s="23"/>
      <c r="G11" s="222">
        <f t="shared" si="1"/>
        <v>3.5110699985820677E-2</v>
      </c>
      <c r="H11" s="222">
        <f t="shared" si="1"/>
        <v>3.0037619090833179E-2</v>
      </c>
      <c r="I11" s="222">
        <f t="shared" si="1"/>
        <v>2.9491613540963621E-2</v>
      </c>
      <c r="J11" s="222">
        <f t="shared" si="1"/>
        <v>2.72181487696041E-2</v>
      </c>
      <c r="K11" s="222">
        <f t="shared" si="1"/>
        <v>3.5173760057795399E-2</v>
      </c>
      <c r="L11" s="222">
        <f t="shared" si="1"/>
        <v>3.8998685821862042E-2</v>
      </c>
      <c r="M11" s="222">
        <f t="shared" si="1"/>
        <v>3.6274787152691758E-2</v>
      </c>
      <c r="N11" s="222">
        <f t="shared" si="1"/>
        <v>3.2185195733497617E-2</v>
      </c>
      <c r="O11" s="222">
        <f t="shared" si="1"/>
        <v>3.1504352753595401E-2</v>
      </c>
      <c r="P11" s="222">
        <f t="shared" si="1"/>
        <v>3.1931448391679239E-2</v>
      </c>
      <c r="Q11" s="222">
        <f t="shared" si="1"/>
        <v>3.019797014371927E-2</v>
      </c>
      <c r="R11" s="222">
        <f t="shared" si="1"/>
        <v>3.2158465547213612E-2</v>
      </c>
      <c r="S11" s="222">
        <f t="shared" si="1"/>
        <v>4.6114698992526938E-2</v>
      </c>
      <c r="T11" s="222">
        <f t="shared" ref="T11" si="8">T19/T$20</f>
        <v>5.8198607471418813E-2</v>
      </c>
      <c r="U11" s="222">
        <f t="shared" si="1"/>
        <v>5.667761383246573E-2</v>
      </c>
      <c r="V11" s="222">
        <f t="shared" si="1"/>
        <v>6.6874675200363456E-2</v>
      </c>
    </row>
    <row r="12" spans="1:22">
      <c r="C12" s="23"/>
      <c r="D12" s="23"/>
      <c r="E12" s="23"/>
      <c r="F12" s="23"/>
      <c r="G12" s="23"/>
      <c r="H12" s="23"/>
      <c r="I12" s="23"/>
      <c r="J12" s="23"/>
      <c r="K12" s="23"/>
      <c r="L12" s="23"/>
      <c r="M12" s="23"/>
      <c r="N12" s="23"/>
      <c r="O12" s="23"/>
      <c r="P12" s="23"/>
      <c r="Q12" s="23"/>
      <c r="R12" s="23"/>
      <c r="S12" s="23"/>
      <c r="T12" s="23"/>
      <c r="U12" s="23"/>
    </row>
    <row r="13" spans="1:22">
      <c r="A13" s="55"/>
      <c r="B13" s="601" t="s">
        <v>630</v>
      </c>
      <c r="C13" s="23"/>
      <c r="D13" s="23"/>
      <c r="E13" s="23"/>
      <c r="F13" s="23"/>
      <c r="G13" s="23"/>
      <c r="H13" s="23"/>
      <c r="I13" s="23"/>
      <c r="J13" s="23"/>
      <c r="K13" s="23"/>
      <c r="L13" s="23"/>
      <c r="M13" s="23"/>
      <c r="N13" s="23"/>
      <c r="O13" s="23"/>
      <c r="P13" s="23"/>
      <c r="Q13" s="23"/>
      <c r="R13" s="23"/>
      <c r="S13" s="23"/>
      <c r="T13" s="23"/>
      <c r="U13" s="23"/>
    </row>
    <row r="14" spans="1:22">
      <c r="A14" s="9"/>
      <c r="B14" t="s">
        <v>93</v>
      </c>
      <c r="C14" s="23">
        <v>451.18</v>
      </c>
      <c r="D14" s="23">
        <v>455.44</v>
      </c>
      <c r="E14" s="23">
        <v>480.2</v>
      </c>
      <c r="F14" s="23">
        <v>530.1</v>
      </c>
      <c r="G14" s="23">
        <v>564.70000000000005</v>
      </c>
      <c r="H14" s="23">
        <v>699.63797131000001</v>
      </c>
      <c r="I14" s="23">
        <v>818.7</v>
      </c>
      <c r="J14" s="23">
        <v>968.2</v>
      </c>
      <c r="K14" s="23">
        <v>1053.4000000000001</v>
      </c>
      <c r="L14" s="23">
        <v>1003.8</v>
      </c>
      <c r="M14" s="23">
        <v>1051.404</v>
      </c>
      <c r="N14" s="23">
        <v>1192.807</v>
      </c>
      <c r="O14" s="23">
        <v>1317.3725934100003</v>
      </c>
      <c r="P14" s="23">
        <v>1506.3673522700001</v>
      </c>
      <c r="Q14" s="23">
        <v>1549.3570559300001</v>
      </c>
      <c r="R14" s="23">
        <v>1574.8667999999998</v>
      </c>
      <c r="S14" s="23">
        <v>1689.7566837499999</v>
      </c>
      <c r="T14" s="23">
        <v>1773.16475186</v>
      </c>
      <c r="U14" s="221">
        <v>1859.7792688</v>
      </c>
      <c r="V14" s="684">
        <v>1179.39369164</v>
      </c>
    </row>
    <row r="15" spans="1:22">
      <c r="A15" s="9"/>
      <c r="B15" t="s">
        <v>94</v>
      </c>
      <c r="C15" s="23">
        <v>799.2</v>
      </c>
      <c r="D15" s="23">
        <v>866.3</v>
      </c>
      <c r="E15" s="23">
        <v>903.9</v>
      </c>
      <c r="F15" s="23">
        <v>960.3</v>
      </c>
      <c r="G15" s="23">
        <v>1026.2</v>
      </c>
      <c r="H15" s="23">
        <v>1169.91687596</v>
      </c>
      <c r="I15" s="23">
        <v>1362.5</v>
      </c>
      <c r="J15" s="23">
        <v>1506.8</v>
      </c>
      <c r="K15" s="23">
        <v>1615.21</v>
      </c>
      <c r="L15" s="23">
        <v>1423.2</v>
      </c>
      <c r="M15" s="23">
        <v>1566.3409999999999</v>
      </c>
      <c r="N15" s="23">
        <v>1801.4960000000001</v>
      </c>
      <c r="O15" s="23">
        <v>1860.8935053199998</v>
      </c>
      <c r="P15" s="23">
        <v>1901.6537691999999</v>
      </c>
      <c r="Q15" s="23">
        <v>1909.9882757399998</v>
      </c>
      <c r="R15" s="23">
        <v>1934.3254999999999</v>
      </c>
      <c r="S15" s="23">
        <v>1853.8765296699999</v>
      </c>
      <c r="T15" s="23">
        <v>1946.9405661500002</v>
      </c>
      <c r="U15" s="221">
        <v>2103.383634329</v>
      </c>
      <c r="V15" s="684">
        <v>1103.33149284</v>
      </c>
    </row>
    <row r="16" spans="1:22">
      <c r="A16" s="9"/>
      <c r="B16" t="s">
        <v>232</v>
      </c>
      <c r="C16" s="23">
        <v>140.47999999999999</v>
      </c>
      <c r="D16" s="23">
        <v>146</v>
      </c>
      <c r="E16" s="23">
        <v>154.80000000000001</v>
      </c>
      <c r="F16" s="23">
        <v>177.6</v>
      </c>
      <c r="G16" s="23">
        <v>177.1</v>
      </c>
      <c r="H16" s="23">
        <v>180.85312601999996</v>
      </c>
      <c r="I16" s="23">
        <v>199.7</v>
      </c>
      <c r="J16" s="23">
        <v>203.84</v>
      </c>
      <c r="K16" s="23">
        <v>178.8</v>
      </c>
      <c r="L16" s="23">
        <v>138</v>
      </c>
      <c r="M16" s="23">
        <v>150.53899999999999</v>
      </c>
      <c r="N16" s="23">
        <v>167.346</v>
      </c>
      <c r="O16" s="23">
        <v>179.59236576000004</v>
      </c>
      <c r="P16" s="23">
        <v>199.20825922000003</v>
      </c>
      <c r="Q16" s="23">
        <v>181.28257818999998</v>
      </c>
      <c r="R16" s="23">
        <v>194.17580000000001</v>
      </c>
      <c r="S16" s="23">
        <v>206.47533188</v>
      </c>
      <c r="T16" s="23">
        <v>210.81341880999997</v>
      </c>
      <c r="U16" s="221">
        <v>227.42140884</v>
      </c>
      <c r="V16" s="684">
        <v>107.66271146</v>
      </c>
    </row>
    <row r="17" spans="1:22">
      <c r="A17" s="9"/>
      <c r="B17" t="s">
        <v>233</v>
      </c>
      <c r="C17" s="23">
        <v>48.731428571428566</v>
      </c>
      <c r="D17" s="23">
        <v>49.2</v>
      </c>
      <c r="E17" s="23">
        <v>66.5</v>
      </c>
      <c r="F17" s="23">
        <v>61.7</v>
      </c>
      <c r="G17" s="23">
        <v>74.2</v>
      </c>
      <c r="H17" s="23">
        <v>95.354366549999995</v>
      </c>
      <c r="I17" s="23">
        <v>97.4</v>
      </c>
      <c r="J17" s="23">
        <v>97.78</v>
      </c>
      <c r="K17" s="23">
        <v>95.78</v>
      </c>
      <c r="L17" s="23">
        <v>99.7</v>
      </c>
      <c r="M17" s="23">
        <v>119.688</v>
      </c>
      <c r="N17" s="23">
        <v>140.40199999999999</v>
      </c>
      <c r="O17" s="23">
        <v>146.08819869000001</v>
      </c>
      <c r="P17" s="23">
        <v>145.06987382999998</v>
      </c>
      <c r="Q17" s="23">
        <v>149.38752946</v>
      </c>
      <c r="R17" s="23">
        <v>162.32990000000001</v>
      </c>
      <c r="S17" s="23">
        <v>170.15184858000001</v>
      </c>
      <c r="T17" s="23">
        <v>173.22567344300003</v>
      </c>
      <c r="U17" s="221">
        <v>177.97271461</v>
      </c>
      <c r="V17" s="684">
        <v>93.712293769999988</v>
      </c>
    </row>
    <row r="18" spans="1:22">
      <c r="A18" s="9"/>
      <c r="B18" t="s">
        <v>231</v>
      </c>
      <c r="C18" s="23">
        <v>11.64</v>
      </c>
      <c r="D18" s="23">
        <v>11.7</v>
      </c>
      <c r="E18" s="23">
        <v>14.8</v>
      </c>
      <c r="F18" s="23">
        <v>15.4</v>
      </c>
      <c r="G18" s="23">
        <v>15.539000000000001</v>
      </c>
      <c r="H18" s="23">
        <v>16.673109620000002</v>
      </c>
      <c r="I18" s="23">
        <v>19.413</v>
      </c>
      <c r="J18" s="23">
        <v>21.837</v>
      </c>
      <c r="K18" s="23">
        <v>37.658999999999999</v>
      </c>
      <c r="L18" s="23">
        <v>60.692999999999998</v>
      </c>
      <c r="M18" s="23">
        <v>72.402000000000001</v>
      </c>
      <c r="N18" s="23">
        <v>72.334999999999994</v>
      </c>
      <c r="O18" s="23">
        <v>65.317464380000004</v>
      </c>
      <c r="P18" s="23">
        <v>65.855750319999999</v>
      </c>
      <c r="Q18" s="23">
        <v>78.540600350000005</v>
      </c>
      <c r="R18" s="23">
        <v>119.92519999999999</v>
      </c>
      <c r="S18" s="23">
        <v>122.29939066</v>
      </c>
      <c r="T18" s="23">
        <v>122.82912459000001</v>
      </c>
      <c r="U18" s="221">
        <v>130.43226904000002</v>
      </c>
      <c r="V18" s="684">
        <v>30.982705989999999</v>
      </c>
    </row>
    <row r="19" spans="1:22">
      <c r="A19" s="9"/>
      <c r="B19" t="s">
        <v>234</v>
      </c>
      <c r="C19" s="23"/>
      <c r="D19" s="23"/>
      <c r="E19" s="23"/>
      <c r="F19" s="23"/>
      <c r="G19" s="23">
        <v>67.599999999999994</v>
      </c>
      <c r="H19" s="23">
        <v>66.965908799999994</v>
      </c>
      <c r="I19" s="23">
        <v>75.900000000000006</v>
      </c>
      <c r="J19" s="23">
        <v>78.3</v>
      </c>
      <c r="K19" s="23">
        <v>108.67</v>
      </c>
      <c r="L19" s="23">
        <v>110.6</v>
      </c>
      <c r="M19" s="23">
        <v>111.429</v>
      </c>
      <c r="N19" s="23">
        <v>112.21699999999998</v>
      </c>
      <c r="O19" s="23">
        <v>116.10517452000002</v>
      </c>
      <c r="P19" s="23">
        <v>125.94068807000002</v>
      </c>
      <c r="Q19" s="23">
        <v>120.4601931</v>
      </c>
      <c r="R19" s="23">
        <v>132.43028099</v>
      </c>
      <c r="S19" s="23">
        <v>195.43379841000001</v>
      </c>
      <c r="T19" s="23">
        <v>261.20578659</v>
      </c>
      <c r="U19" s="221">
        <v>270.31265416000008</v>
      </c>
      <c r="V19" s="684">
        <v>180.24947698</v>
      </c>
    </row>
    <row r="20" spans="1:22">
      <c r="A20" s="9"/>
      <c r="B20" s="209" t="s">
        <v>631</v>
      </c>
      <c r="C20" s="223">
        <f>SUM(C14:C19)</f>
        <v>1451.2314285714288</v>
      </c>
      <c r="D20" s="223">
        <f t="shared" ref="D20:V20" si="9">SUM(D14:D19)</f>
        <v>1528.64</v>
      </c>
      <c r="E20" s="223">
        <f t="shared" si="9"/>
        <v>1620.1999999999998</v>
      </c>
      <c r="F20" s="223">
        <f t="shared" si="9"/>
        <v>1745.1000000000001</v>
      </c>
      <c r="G20" s="223">
        <f t="shared" si="9"/>
        <v>1925.3389999999999</v>
      </c>
      <c r="H20" s="223">
        <f t="shared" si="9"/>
        <v>2229.4013582600001</v>
      </c>
      <c r="I20" s="223">
        <f t="shared" si="9"/>
        <v>2573.6129999999998</v>
      </c>
      <c r="J20" s="223">
        <f t="shared" si="9"/>
        <v>2876.7570000000005</v>
      </c>
      <c r="K20" s="223">
        <f t="shared" si="9"/>
        <v>3089.5190000000007</v>
      </c>
      <c r="L20" s="223">
        <f t="shared" si="9"/>
        <v>2835.9929999999999</v>
      </c>
      <c r="M20" s="223">
        <f t="shared" si="9"/>
        <v>3071.8029999999999</v>
      </c>
      <c r="N20" s="223">
        <f t="shared" si="9"/>
        <v>3486.6030000000001</v>
      </c>
      <c r="O20" s="223">
        <f t="shared" si="9"/>
        <v>3685.3693020800001</v>
      </c>
      <c r="P20" s="223">
        <f t="shared" si="9"/>
        <v>3944.0956929099998</v>
      </c>
      <c r="Q20" s="223">
        <f t="shared" si="9"/>
        <v>3989.0162327700004</v>
      </c>
      <c r="R20" s="223">
        <f t="shared" si="9"/>
        <v>4118.05348099</v>
      </c>
      <c r="S20" s="223">
        <f t="shared" si="9"/>
        <v>4237.99358295</v>
      </c>
      <c r="T20" s="223">
        <f t="shared" ref="T20" si="10">SUM(T14:T19)</f>
        <v>4488.1793214429999</v>
      </c>
      <c r="U20" s="223">
        <f t="shared" si="9"/>
        <v>4769.301949779001</v>
      </c>
      <c r="V20" s="752">
        <f t="shared" si="9"/>
        <v>2695.3323726800004</v>
      </c>
    </row>
    <row r="21" spans="1:22">
      <c r="A21" s="9"/>
      <c r="C21" s="618"/>
      <c r="D21" s="618"/>
      <c r="E21" s="618"/>
      <c r="F21" s="618"/>
      <c r="G21" s="618"/>
      <c r="H21" s="618"/>
      <c r="I21" s="618"/>
      <c r="J21" s="618"/>
      <c r="K21" s="618"/>
      <c r="L21" s="618"/>
      <c r="M21" s="618"/>
      <c r="N21" s="618"/>
      <c r="O21" s="618"/>
      <c r="P21" s="618"/>
      <c r="Q21" s="618"/>
      <c r="R21" s="618"/>
      <c r="S21" s="618"/>
      <c r="T21" s="618"/>
      <c r="U21" s="618"/>
    </row>
    <row r="22" spans="1:22">
      <c r="A22" s="9"/>
      <c r="B22" t="s">
        <v>194</v>
      </c>
      <c r="C22" s="617">
        <v>11784.93</v>
      </c>
      <c r="D22" s="617">
        <v>12282.53</v>
      </c>
      <c r="E22" s="617">
        <v>12664.19</v>
      </c>
      <c r="F22" s="617">
        <v>13243.89</v>
      </c>
      <c r="G22" s="617">
        <v>13724.81</v>
      </c>
      <c r="H22" s="617">
        <v>14698</v>
      </c>
      <c r="I22" s="617">
        <v>15999.89</v>
      </c>
      <c r="J22" s="617">
        <v>17011.75</v>
      </c>
      <c r="K22" s="617">
        <v>17986.89</v>
      </c>
      <c r="L22" s="617">
        <v>17601.62</v>
      </c>
      <c r="M22" s="617">
        <v>18447.919999999998</v>
      </c>
      <c r="N22" s="617">
        <v>20283.78</v>
      </c>
      <c r="O22" s="617">
        <v>21386.15</v>
      </c>
      <c r="P22" s="617">
        <v>21990.959999999999</v>
      </c>
      <c r="Q22" s="617">
        <v>22593.47</v>
      </c>
      <c r="R22" s="617">
        <v>23438.240000000002</v>
      </c>
      <c r="S22" s="617">
        <v>24154.11</v>
      </c>
      <c r="T22" s="617">
        <v>24927.97</v>
      </c>
      <c r="U22" s="617">
        <v>26056.94</v>
      </c>
      <c r="V22" s="617">
        <v>26844.7</v>
      </c>
    </row>
    <row r="23" spans="1:22">
      <c r="A23" s="9"/>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15"/>
  <sheetViews>
    <sheetView workbookViewId="0">
      <pane xSplit="2" ySplit="5" topLeftCell="N9" activePane="bottomRight" state="frozen"/>
      <selection pane="topRight" activeCell="C1" sqref="C1"/>
      <selection pane="bottomLeft" activeCell="A6" sqref="A6"/>
      <selection pane="bottomRight" activeCell="C6" sqref="C6"/>
    </sheetView>
  </sheetViews>
  <sheetFormatPr baseColWidth="10" defaultRowHeight="15"/>
  <cols>
    <col min="2" max="2" width="30.7109375" customWidth="1"/>
    <col min="3" max="21" width="9.7109375" customWidth="1"/>
  </cols>
  <sheetData>
    <row r="2" spans="1:22">
      <c r="B2" s="219" t="s">
        <v>782</v>
      </c>
    </row>
    <row r="3" spans="1:22">
      <c r="B3" t="s">
        <v>230</v>
      </c>
    </row>
    <row r="5" spans="1:22">
      <c r="C5" s="601">
        <v>2000</v>
      </c>
      <c r="D5" s="601">
        <v>2001</v>
      </c>
      <c r="E5" s="601">
        <v>2002</v>
      </c>
      <c r="F5" s="601">
        <v>2003</v>
      </c>
      <c r="G5" s="601">
        <v>2004</v>
      </c>
      <c r="H5" s="601">
        <v>2005</v>
      </c>
      <c r="I5" s="601">
        <v>2006</v>
      </c>
      <c r="J5" s="601">
        <v>2007</v>
      </c>
      <c r="K5" s="601">
        <v>2008</v>
      </c>
      <c r="L5" s="601">
        <v>2009</v>
      </c>
      <c r="M5" s="601">
        <v>2010</v>
      </c>
      <c r="N5" s="601">
        <v>2011</v>
      </c>
      <c r="O5" s="601">
        <v>2012</v>
      </c>
      <c r="P5" s="601">
        <v>2013</v>
      </c>
      <c r="Q5" s="601">
        <v>2014</v>
      </c>
      <c r="R5" s="601">
        <v>2015</v>
      </c>
      <c r="S5" s="601">
        <v>2016</v>
      </c>
      <c r="T5" s="601">
        <v>2017</v>
      </c>
      <c r="U5" s="601">
        <v>2018</v>
      </c>
      <c r="V5" s="601" t="s">
        <v>773</v>
      </c>
    </row>
    <row r="6" spans="1:22">
      <c r="A6" s="9"/>
      <c r="B6" t="s">
        <v>93</v>
      </c>
      <c r="C6" s="23">
        <v>451.18</v>
      </c>
      <c r="D6" s="23">
        <v>455.44</v>
      </c>
      <c r="E6" s="23">
        <v>480.2</v>
      </c>
      <c r="F6" s="23">
        <v>530.1</v>
      </c>
      <c r="G6" s="23">
        <v>564.70000000000005</v>
      </c>
      <c r="H6" s="23">
        <v>699.63797131000001</v>
      </c>
      <c r="I6" s="23">
        <v>818.7</v>
      </c>
      <c r="J6" s="23">
        <v>968.2</v>
      </c>
      <c r="K6" s="23">
        <v>1053.4000000000001</v>
      </c>
      <c r="L6" s="23">
        <v>1003.8</v>
      </c>
      <c r="M6" s="23">
        <v>1051.404</v>
      </c>
      <c r="N6" s="23">
        <v>1192.807</v>
      </c>
      <c r="O6" s="23">
        <v>1317.3725934100003</v>
      </c>
      <c r="P6" s="23">
        <v>1506.3673522700001</v>
      </c>
      <c r="Q6" s="23">
        <v>1549.3570559300001</v>
      </c>
      <c r="R6" s="23">
        <v>1574.8667999999998</v>
      </c>
      <c r="S6" s="23">
        <v>1689.7566837499999</v>
      </c>
      <c r="T6" s="23">
        <v>1773.16475186</v>
      </c>
      <c r="U6" s="23">
        <v>1859.7792688</v>
      </c>
      <c r="V6" s="684">
        <v>1179.39369164</v>
      </c>
    </row>
    <row r="7" spans="1:22">
      <c r="A7" s="9"/>
      <c r="B7" t="s">
        <v>94</v>
      </c>
      <c r="C7" s="23">
        <v>799.2</v>
      </c>
      <c r="D7" s="23">
        <v>866.3</v>
      </c>
      <c r="E7" s="23">
        <v>903.9</v>
      </c>
      <c r="F7" s="23">
        <v>960.3</v>
      </c>
      <c r="G7" s="23">
        <v>1026.2</v>
      </c>
      <c r="H7" s="23">
        <v>1169.91687596</v>
      </c>
      <c r="I7" s="23">
        <v>1362.5</v>
      </c>
      <c r="J7" s="23">
        <v>1506.8</v>
      </c>
      <c r="K7" s="23">
        <v>1615.21</v>
      </c>
      <c r="L7" s="23">
        <v>1423.2</v>
      </c>
      <c r="M7" s="23">
        <v>1566.3409999999999</v>
      </c>
      <c r="N7" s="23">
        <v>1801.4960000000001</v>
      </c>
      <c r="O7" s="23">
        <v>1860.8935053199998</v>
      </c>
      <c r="P7" s="23">
        <v>1901.6537691999999</v>
      </c>
      <c r="Q7" s="23">
        <v>1909.9882757399998</v>
      </c>
      <c r="R7" s="23">
        <v>1934.3254999999999</v>
      </c>
      <c r="S7" s="23">
        <v>1853.8765296699999</v>
      </c>
      <c r="T7" s="23">
        <v>1946.9405661500002</v>
      </c>
      <c r="U7" s="23">
        <v>2103.383634329</v>
      </c>
      <c r="V7" s="684">
        <v>1103.33149284</v>
      </c>
    </row>
    <row r="8" spans="1:22">
      <c r="A8" s="9"/>
      <c r="B8" t="s">
        <v>232</v>
      </c>
      <c r="C8" s="23">
        <v>140.47999999999999</v>
      </c>
      <c r="D8" s="23">
        <v>146</v>
      </c>
      <c r="E8" s="23">
        <v>154.80000000000001</v>
      </c>
      <c r="F8" s="23">
        <v>177.6</v>
      </c>
      <c r="G8" s="23">
        <v>177.1</v>
      </c>
      <c r="H8" s="23">
        <v>180.85312601999996</v>
      </c>
      <c r="I8" s="23">
        <v>199.7</v>
      </c>
      <c r="J8" s="23">
        <v>203.84</v>
      </c>
      <c r="K8" s="23">
        <v>178.8</v>
      </c>
      <c r="L8" s="23">
        <v>138</v>
      </c>
      <c r="M8" s="23">
        <v>150.53899999999999</v>
      </c>
      <c r="N8" s="23">
        <v>167.346</v>
      </c>
      <c r="O8" s="23">
        <v>179.59236576000004</v>
      </c>
      <c r="P8" s="23">
        <v>199.20825922000003</v>
      </c>
      <c r="Q8" s="23">
        <v>181.28257818999998</v>
      </c>
      <c r="R8" s="23">
        <v>194.17580000000001</v>
      </c>
      <c r="S8" s="23">
        <v>206.47533188</v>
      </c>
      <c r="T8" s="23">
        <v>210.81341880999997</v>
      </c>
      <c r="U8" s="23">
        <v>227.42140884</v>
      </c>
      <c r="V8" s="684">
        <v>107.66271146</v>
      </c>
    </row>
    <row r="9" spans="1:22">
      <c r="A9" s="9"/>
      <c r="B9" t="s">
        <v>233</v>
      </c>
      <c r="C9" s="23">
        <v>48.731428571428566</v>
      </c>
      <c r="D9" s="23">
        <v>49.2</v>
      </c>
      <c r="E9" s="23">
        <v>66.5</v>
      </c>
      <c r="F9" s="23">
        <v>61.7</v>
      </c>
      <c r="G9" s="23">
        <v>74.2</v>
      </c>
      <c r="H9" s="23">
        <v>95.354366549999995</v>
      </c>
      <c r="I9" s="23">
        <v>97.4</v>
      </c>
      <c r="J9" s="23">
        <v>97.78</v>
      </c>
      <c r="K9" s="23">
        <v>95.78</v>
      </c>
      <c r="L9" s="23">
        <v>99.7</v>
      </c>
      <c r="M9" s="23">
        <v>119.688</v>
      </c>
      <c r="N9" s="23">
        <v>140.40199999999999</v>
      </c>
      <c r="O9" s="23">
        <v>146.08819869000001</v>
      </c>
      <c r="P9" s="23">
        <v>145.06987382999998</v>
      </c>
      <c r="Q9" s="23">
        <v>149.38752946</v>
      </c>
      <c r="R9" s="23">
        <v>162.32990000000001</v>
      </c>
      <c r="S9" s="23">
        <v>170.15184858000001</v>
      </c>
      <c r="T9" s="23">
        <v>173.22567344300003</v>
      </c>
      <c r="U9" s="23">
        <v>177.97271461</v>
      </c>
      <c r="V9" s="684">
        <v>93.712293769999988</v>
      </c>
    </row>
    <row r="10" spans="1:22">
      <c r="A10" s="9"/>
      <c r="B10" t="s">
        <v>231</v>
      </c>
      <c r="C10" s="23">
        <v>11.64</v>
      </c>
      <c r="D10" s="23">
        <v>11.7</v>
      </c>
      <c r="E10" s="23">
        <v>14.8</v>
      </c>
      <c r="F10" s="23">
        <v>15.4</v>
      </c>
      <c r="G10" s="23">
        <v>15.539000000000001</v>
      </c>
      <c r="H10" s="23">
        <v>16.673109620000002</v>
      </c>
      <c r="I10" s="23">
        <v>19.413</v>
      </c>
      <c r="J10" s="23">
        <v>21.837</v>
      </c>
      <c r="K10" s="23">
        <v>37.658999999999999</v>
      </c>
      <c r="L10" s="23">
        <v>60.692999999999998</v>
      </c>
      <c r="M10" s="23">
        <v>72.402000000000001</v>
      </c>
      <c r="N10" s="23">
        <v>72.334999999999994</v>
      </c>
      <c r="O10" s="23">
        <v>65.317464380000004</v>
      </c>
      <c r="P10" s="23">
        <v>65.855750319999999</v>
      </c>
      <c r="Q10" s="23">
        <v>78.540600350000005</v>
      </c>
      <c r="R10" s="23">
        <v>119.92519999999999</v>
      </c>
      <c r="S10" s="23">
        <v>122.29939066</v>
      </c>
      <c r="T10" s="23">
        <v>122.82912459000001</v>
      </c>
      <c r="U10" s="23">
        <v>130.43226904000002</v>
      </c>
      <c r="V10" s="684">
        <v>30.982705989999999</v>
      </c>
    </row>
    <row r="11" spans="1:22">
      <c r="A11" s="9"/>
      <c r="B11" t="s">
        <v>234</v>
      </c>
      <c r="C11" s="23"/>
      <c r="D11" s="23"/>
      <c r="E11" s="23"/>
      <c r="F11" s="23"/>
      <c r="G11" s="23">
        <v>67.599999999999994</v>
      </c>
      <c r="H11" s="23">
        <v>66.965908799999994</v>
      </c>
      <c r="I11" s="23">
        <v>75.900000000000006</v>
      </c>
      <c r="J11" s="23">
        <v>78.3</v>
      </c>
      <c r="K11" s="23">
        <v>108.67</v>
      </c>
      <c r="L11" s="23">
        <v>110.6</v>
      </c>
      <c r="M11" s="23">
        <v>111.429</v>
      </c>
      <c r="N11" s="23">
        <v>112.21699999999998</v>
      </c>
      <c r="O11" s="23">
        <v>116.10517452000002</v>
      </c>
      <c r="P11" s="23">
        <v>125.94068807000002</v>
      </c>
      <c r="Q11" s="23">
        <v>120.4601931</v>
      </c>
      <c r="R11" s="23">
        <v>132.43028099</v>
      </c>
      <c r="S11" s="23">
        <v>195.43379841000001</v>
      </c>
      <c r="T11" s="23">
        <v>261.20578659</v>
      </c>
      <c r="U11" s="23">
        <v>270.31265416000008</v>
      </c>
      <c r="V11" s="684">
        <v>180.24947698</v>
      </c>
    </row>
    <row r="12" spans="1:22">
      <c r="A12" s="9"/>
      <c r="B12" s="209" t="s">
        <v>631</v>
      </c>
      <c r="C12" s="223">
        <f>SUM(C6:C11)</f>
        <v>1451.2314285714288</v>
      </c>
      <c r="D12" s="223">
        <f t="shared" ref="D12:V12" si="0">SUM(D6:D11)</f>
        <v>1528.64</v>
      </c>
      <c r="E12" s="223">
        <f t="shared" si="0"/>
        <v>1620.1999999999998</v>
      </c>
      <c r="F12" s="223">
        <f t="shared" si="0"/>
        <v>1745.1000000000001</v>
      </c>
      <c r="G12" s="223">
        <f t="shared" si="0"/>
        <v>1925.3389999999999</v>
      </c>
      <c r="H12" s="223">
        <f t="shared" si="0"/>
        <v>2229.4013582600001</v>
      </c>
      <c r="I12" s="223">
        <f t="shared" si="0"/>
        <v>2573.6129999999998</v>
      </c>
      <c r="J12" s="223">
        <f t="shared" si="0"/>
        <v>2876.7570000000005</v>
      </c>
      <c r="K12" s="223">
        <f t="shared" si="0"/>
        <v>3089.5190000000007</v>
      </c>
      <c r="L12" s="223">
        <f t="shared" si="0"/>
        <v>2835.9929999999999</v>
      </c>
      <c r="M12" s="223">
        <f t="shared" si="0"/>
        <v>3071.8029999999999</v>
      </c>
      <c r="N12" s="223">
        <f t="shared" si="0"/>
        <v>3486.6030000000001</v>
      </c>
      <c r="O12" s="223">
        <f t="shared" si="0"/>
        <v>3685.3693020800001</v>
      </c>
      <c r="P12" s="223">
        <f t="shared" si="0"/>
        <v>3944.0956929099998</v>
      </c>
      <c r="Q12" s="223">
        <f t="shared" si="0"/>
        <v>3989.0162327700004</v>
      </c>
      <c r="R12" s="223">
        <f t="shared" si="0"/>
        <v>4118.05348099</v>
      </c>
      <c r="S12" s="223">
        <f t="shared" si="0"/>
        <v>4237.99358295</v>
      </c>
      <c r="T12" s="223">
        <f t="shared" ref="T12" si="1">SUM(T6:T11)</f>
        <v>4488.1793214429999</v>
      </c>
      <c r="U12" s="223">
        <f t="shared" si="0"/>
        <v>4769.301949779001</v>
      </c>
      <c r="V12" s="752">
        <f t="shared" si="0"/>
        <v>2695.3323726800004</v>
      </c>
    </row>
    <row r="13" spans="1:22">
      <c r="A13" s="9"/>
      <c r="C13" s="618"/>
      <c r="D13" s="618"/>
      <c r="E13" s="618"/>
      <c r="F13" s="618"/>
      <c r="G13" s="618"/>
      <c r="H13" s="618"/>
      <c r="I13" s="618"/>
      <c r="J13" s="618"/>
      <c r="K13" s="618"/>
      <c r="L13" s="618"/>
      <c r="M13" s="618"/>
      <c r="N13" s="618"/>
      <c r="O13" s="618"/>
      <c r="P13" s="618"/>
      <c r="Q13" s="618"/>
      <c r="R13" s="618"/>
      <c r="S13" s="618"/>
      <c r="T13" s="618"/>
      <c r="U13" s="618"/>
    </row>
    <row r="14" spans="1:22">
      <c r="A14" s="9"/>
      <c r="B14" t="s">
        <v>194</v>
      </c>
      <c r="C14" s="617">
        <v>11784.93</v>
      </c>
      <c r="D14" s="617">
        <v>12282.53</v>
      </c>
      <c r="E14" s="617">
        <v>12664.19</v>
      </c>
      <c r="F14" s="617">
        <v>13243.89</v>
      </c>
      <c r="G14" s="617">
        <v>13724.81</v>
      </c>
      <c r="H14" s="617">
        <v>14698</v>
      </c>
      <c r="I14" s="617">
        <v>15999.89</v>
      </c>
      <c r="J14" s="617">
        <v>17011.75</v>
      </c>
      <c r="K14" s="617">
        <v>17986.89</v>
      </c>
      <c r="L14" s="617">
        <v>17601.62</v>
      </c>
      <c r="M14" s="617">
        <v>18447.919999999998</v>
      </c>
      <c r="N14" s="617">
        <v>20283.78</v>
      </c>
      <c r="O14" s="617">
        <v>21386.15</v>
      </c>
      <c r="P14" s="617">
        <v>21990.959999999999</v>
      </c>
      <c r="Q14" s="617">
        <v>22593.47</v>
      </c>
      <c r="R14" s="617">
        <v>23438.240000000002</v>
      </c>
      <c r="S14" s="617">
        <v>24154.11</v>
      </c>
      <c r="T14" s="617">
        <v>24927.97</v>
      </c>
      <c r="U14" s="617">
        <v>26056.94</v>
      </c>
      <c r="V14" s="617">
        <v>26844.7</v>
      </c>
    </row>
    <row r="15" spans="1:22">
      <c r="A15" s="9"/>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O36"/>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s>
  <sheetData>
    <row r="2" spans="2:15">
      <c r="B2" t="s">
        <v>18</v>
      </c>
    </row>
    <row r="3" spans="2:15">
      <c r="B3" t="s">
        <v>57</v>
      </c>
    </row>
    <row r="4" spans="2:15">
      <c r="B4" t="s">
        <v>19</v>
      </c>
    </row>
    <row r="6" spans="2:15"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2009</v>
      </c>
    </row>
    <row r="7" spans="2:15" ht="24.95" customHeight="1">
      <c r="B7" s="25" t="s">
        <v>71</v>
      </c>
      <c r="C7" s="33">
        <f>+C8+C19</f>
        <v>269.20008723999996</v>
      </c>
      <c r="D7" s="34">
        <f>+D8+D19</f>
        <v>225.04423044999996</v>
      </c>
      <c r="E7" s="34">
        <f t="shared" ref="E7:M7" si="0">+E8+E19</f>
        <v>228.83871607999998</v>
      </c>
      <c r="F7" s="34">
        <f t="shared" si="0"/>
        <v>398.90227179999999</v>
      </c>
      <c r="G7" s="34">
        <f t="shared" si="0"/>
        <v>244.09987278</v>
      </c>
      <c r="H7" s="34">
        <f t="shared" si="0"/>
        <v>230.09681388999996</v>
      </c>
      <c r="I7" s="34">
        <f t="shared" si="0"/>
        <v>232.34219680999999</v>
      </c>
      <c r="J7" s="34">
        <f t="shared" si="0"/>
        <v>225.17340063000003</v>
      </c>
      <c r="K7" s="34">
        <f t="shared" si="0"/>
        <v>214.18892473</v>
      </c>
      <c r="L7" s="34">
        <f t="shared" si="0"/>
        <v>240.85260447000002</v>
      </c>
      <c r="M7" s="34">
        <f t="shared" si="0"/>
        <v>226.64699999999999</v>
      </c>
      <c r="N7" s="22">
        <f>+N8+N19</f>
        <v>233.32740000000001</v>
      </c>
      <c r="O7" s="22">
        <f t="shared" ref="O7:O28" si="1">SUM(C7:N7)</f>
        <v>2968.7135188800003</v>
      </c>
    </row>
    <row r="8" spans="2:15" ht="24.95" customHeight="1">
      <c r="B8" s="15" t="s">
        <v>72</v>
      </c>
      <c r="C8" s="33">
        <f>SUM(C9:C14)</f>
        <v>261.17628725999998</v>
      </c>
      <c r="D8" s="34">
        <f t="shared" ref="D8:N8" si="2">SUM(D9:D14)</f>
        <v>213.93392618999997</v>
      </c>
      <c r="E8" s="34">
        <f t="shared" si="2"/>
        <v>217.36434896999998</v>
      </c>
      <c r="F8" s="34">
        <f t="shared" si="2"/>
        <v>391.70345392000002</v>
      </c>
      <c r="G8" s="34">
        <f t="shared" si="2"/>
        <v>228.07818352000001</v>
      </c>
      <c r="H8" s="34">
        <f t="shared" si="2"/>
        <v>221.01792081999997</v>
      </c>
      <c r="I8" s="34">
        <f t="shared" si="2"/>
        <v>224.5308</v>
      </c>
      <c r="J8" s="34">
        <f t="shared" si="2"/>
        <v>217.21532430000002</v>
      </c>
      <c r="K8" s="34">
        <f t="shared" si="2"/>
        <v>205.75132636000001</v>
      </c>
      <c r="L8" s="34">
        <f t="shared" si="2"/>
        <v>221.26447007000002</v>
      </c>
      <c r="M8" s="34">
        <f t="shared" si="2"/>
        <v>210.20699999999999</v>
      </c>
      <c r="N8" s="22">
        <f t="shared" si="2"/>
        <v>223.71400000000003</v>
      </c>
      <c r="O8" s="22">
        <f t="shared" si="1"/>
        <v>2835.9570414099994</v>
      </c>
    </row>
    <row r="9" spans="2:15">
      <c r="B9" s="35" t="s">
        <v>73</v>
      </c>
      <c r="C9" s="36">
        <v>125.517</v>
      </c>
      <c r="D9" s="37">
        <v>117.01073882</v>
      </c>
      <c r="E9" s="37">
        <v>117.27757486</v>
      </c>
      <c r="F9" s="37">
        <v>118.28667790999999</v>
      </c>
      <c r="G9" s="37">
        <v>123.69619192</v>
      </c>
      <c r="H9" s="37">
        <v>118.44765534999999</v>
      </c>
      <c r="I9" s="37">
        <v>118.17070000000001</v>
      </c>
      <c r="J9" s="37">
        <v>115.63243309000001</v>
      </c>
      <c r="K9" s="37">
        <v>112.40007378</v>
      </c>
      <c r="L9" s="37">
        <v>119.52897289000001</v>
      </c>
      <c r="M9" s="37">
        <v>116</v>
      </c>
      <c r="N9" s="19">
        <v>121.2</v>
      </c>
      <c r="O9" s="19">
        <f t="shared" si="1"/>
        <v>1423.1680186199999</v>
      </c>
    </row>
    <row r="10" spans="2:15">
      <c r="B10" s="35" t="s">
        <v>24</v>
      </c>
      <c r="C10" s="36">
        <v>99.050799999999995</v>
      </c>
      <c r="D10" s="37">
        <v>65.897486430000001</v>
      </c>
      <c r="E10" s="37">
        <v>68.066762479999994</v>
      </c>
      <c r="F10" s="37">
        <v>239.24526781</v>
      </c>
      <c r="G10" s="37">
        <v>71.735931480000005</v>
      </c>
      <c r="H10" s="37">
        <v>69.615842660000013</v>
      </c>
      <c r="I10" s="37">
        <v>72.990499999999997</v>
      </c>
      <c r="J10" s="37">
        <v>69.404341960000011</v>
      </c>
      <c r="K10" s="37">
        <v>61.790645929999997</v>
      </c>
      <c r="L10" s="37">
        <v>67.830020349999998</v>
      </c>
      <c r="M10" s="37">
        <v>56.1</v>
      </c>
      <c r="N10" s="19">
        <v>62.1</v>
      </c>
      <c r="O10" s="19">
        <f t="shared" si="1"/>
        <v>1003.8275991</v>
      </c>
    </row>
    <row r="11" spans="2:15">
      <c r="B11" s="35" t="s">
        <v>27</v>
      </c>
      <c r="C11" s="36">
        <v>10.069699999999999</v>
      </c>
      <c r="D11" s="37">
        <v>10.47929111</v>
      </c>
      <c r="E11" s="37">
        <v>11.7239629</v>
      </c>
      <c r="F11" s="37">
        <v>11.341212730000001</v>
      </c>
      <c r="G11" s="37">
        <v>11.32858268</v>
      </c>
      <c r="H11" s="37">
        <v>10.944674699999998</v>
      </c>
      <c r="I11" s="37">
        <v>11.562099999999999</v>
      </c>
      <c r="J11" s="37">
        <v>9.8414086399999974</v>
      </c>
      <c r="K11" s="37">
        <v>11.081452279999999</v>
      </c>
      <c r="L11" s="37">
        <v>12.235976749999999</v>
      </c>
      <c r="M11" s="37">
        <v>14</v>
      </c>
      <c r="N11" s="19">
        <v>13.4</v>
      </c>
      <c r="O11" s="19">
        <f t="shared" si="1"/>
        <v>138.00836178999998</v>
      </c>
    </row>
    <row r="12" spans="2:15">
      <c r="B12" s="35" t="s">
        <v>74</v>
      </c>
      <c r="C12" s="36">
        <v>10.9552</v>
      </c>
      <c r="D12" s="37">
        <v>6.0444361899999999</v>
      </c>
      <c r="E12" s="37">
        <v>7.0115754299999997</v>
      </c>
      <c r="F12" s="37">
        <v>7.6997502300000003</v>
      </c>
      <c r="G12" s="37">
        <v>7.7930080000000004</v>
      </c>
      <c r="H12" s="37">
        <v>7.5560997499999996</v>
      </c>
      <c r="I12" s="37">
        <v>8.3912999999999993</v>
      </c>
      <c r="J12" s="37">
        <v>8.4081426100000005</v>
      </c>
      <c r="K12" s="37">
        <v>6.8043954900000001</v>
      </c>
      <c r="L12" s="37">
        <v>7.6454569799999996</v>
      </c>
      <c r="M12" s="37">
        <v>9.1</v>
      </c>
      <c r="N12" s="19">
        <v>12.3</v>
      </c>
      <c r="O12" s="19">
        <f t="shared" si="1"/>
        <v>99.709364680000007</v>
      </c>
    </row>
    <row r="13" spans="2:15">
      <c r="B13" s="35" t="s">
        <v>75</v>
      </c>
      <c r="C13" s="36">
        <v>5.48</v>
      </c>
      <c r="D13" s="37">
        <v>4.9530000000000003</v>
      </c>
      <c r="E13" s="37">
        <v>4.4009999999999998</v>
      </c>
      <c r="F13" s="37">
        <v>4.673</v>
      </c>
      <c r="G13" s="37">
        <v>4.47</v>
      </c>
      <c r="H13" s="37">
        <v>5</v>
      </c>
      <c r="I13" s="37">
        <v>4.7050000000000001</v>
      </c>
      <c r="J13" s="37">
        <v>4.8680000000000003</v>
      </c>
      <c r="K13" s="37">
        <v>5.125</v>
      </c>
      <c r="L13" s="37">
        <v>5</v>
      </c>
      <c r="M13" s="37">
        <v>5.55</v>
      </c>
      <c r="N13" s="19">
        <v>6.4720000000000004</v>
      </c>
      <c r="O13" s="19">
        <f t="shared" si="1"/>
        <v>60.696999999999996</v>
      </c>
    </row>
    <row r="14" spans="2:15">
      <c r="B14" s="35" t="s">
        <v>76</v>
      </c>
      <c r="C14" s="36">
        <f>SUM(C15:C18)</f>
        <v>10.103587260000001</v>
      </c>
      <c r="D14" s="37">
        <f t="shared" ref="D14:N14" si="3">SUM(D15:D18)</f>
        <v>9.5489736399999998</v>
      </c>
      <c r="E14" s="37">
        <f t="shared" si="3"/>
        <v>8.8834733000000003</v>
      </c>
      <c r="F14" s="37">
        <f t="shared" si="3"/>
        <v>10.45754524</v>
      </c>
      <c r="G14" s="37">
        <f t="shared" si="3"/>
        <v>9.0544694400000001</v>
      </c>
      <c r="H14" s="37">
        <f t="shared" si="3"/>
        <v>9.453648359999999</v>
      </c>
      <c r="I14" s="37">
        <f t="shared" si="3"/>
        <v>8.7111999999999998</v>
      </c>
      <c r="J14" s="37">
        <f t="shared" si="3"/>
        <v>9.0609979999999997</v>
      </c>
      <c r="K14" s="37">
        <f t="shared" si="3"/>
        <v>8.5497588799999988</v>
      </c>
      <c r="L14" s="37">
        <f t="shared" si="3"/>
        <v>9.0240431000000001</v>
      </c>
      <c r="M14" s="37">
        <f t="shared" si="3"/>
        <v>9.4570000000000007</v>
      </c>
      <c r="N14" s="19">
        <f t="shared" si="3"/>
        <v>8.2420000000000009</v>
      </c>
      <c r="O14" s="19">
        <f t="shared" si="1"/>
        <v>110.54669722000001</v>
      </c>
    </row>
    <row r="15" spans="2:15">
      <c r="B15" s="17" t="s">
        <v>77</v>
      </c>
      <c r="C15" s="36">
        <v>6.42</v>
      </c>
      <c r="D15" s="37">
        <v>5.9539999999999997</v>
      </c>
      <c r="E15" s="37">
        <v>5.4989999999999997</v>
      </c>
      <c r="F15" s="37">
        <v>6.2649999999999997</v>
      </c>
      <c r="G15" s="37">
        <v>5.6029999999999998</v>
      </c>
      <c r="H15" s="37">
        <v>5.8019999999999996</v>
      </c>
      <c r="I15" s="37">
        <v>5.2380000000000004</v>
      </c>
      <c r="J15" s="37">
        <v>5.6289999999999996</v>
      </c>
      <c r="K15" s="37">
        <v>5.3220000000000001</v>
      </c>
      <c r="L15" s="37">
        <v>5.4720000000000004</v>
      </c>
      <c r="M15" s="37">
        <v>5.8369999999999997</v>
      </c>
      <c r="N15" s="19">
        <v>5.0810000000000004</v>
      </c>
      <c r="O15" s="19">
        <f t="shared" si="1"/>
        <v>68.122</v>
      </c>
    </row>
    <row r="16" spans="2:15">
      <c r="B16" s="17" t="s">
        <v>78</v>
      </c>
      <c r="C16" s="36"/>
      <c r="D16" s="37"/>
      <c r="E16" s="37"/>
      <c r="F16" s="37">
        <v>0.33600000000000002</v>
      </c>
      <c r="G16" s="37"/>
      <c r="H16" s="37"/>
      <c r="I16" s="37">
        <v>0.17699999999999999</v>
      </c>
      <c r="J16" s="37"/>
      <c r="K16" s="37"/>
      <c r="L16" s="37">
        <v>0.17699999999999999</v>
      </c>
      <c r="M16" s="37"/>
      <c r="N16" s="19"/>
      <c r="O16" s="19">
        <f t="shared" si="1"/>
        <v>0.69</v>
      </c>
    </row>
    <row r="17" spans="2:15">
      <c r="B17" s="17" t="s">
        <v>79</v>
      </c>
      <c r="C17" s="36">
        <v>0.47358726000000001</v>
      </c>
      <c r="D17" s="37">
        <v>0.61797363999999999</v>
      </c>
      <c r="E17" s="37">
        <v>0.63547330000000002</v>
      </c>
      <c r="F17" s="37">
        <v>0.72054523999999998</v>
      </c>
      <c r="G17" s="37">
        <v>0.64946943999999995</v>
      </c>
      <c r="H17" s="37">
        <v>0.75164836000000002</v>
      </c>
      <c r="I17" s="37">
        <v>0.67520000000000002</v>
      </c>
      <c r="J17" s="37">
        <v>0.61599800000000005</v>
      </c>
      <c r="K17" s="37">
        <v>0.56575887999999996</v>
      </c>
      <c r="L17" s="37">
        <v>0.63904309999999998</v>
      </c>
      <c r="M17" s="37">
        <v>0.7</v>
      </c>
      <c r="N17" s="19">
        <v>0.62</v>
      </c>
      <c r="O17" s="19">
        <f t="shared" si="1"/>
        <v>7.6646972199999999</v>
      </c>
    </row>
    <row r="18" spans="2:15">
      <c r="B18" s="17" t="s">
        <v>80</v>
      </c>
      <c r="C18" s="36">
        <v>3.21</v>
      </c>
      <c r="D18" s="37">
        <v>2.9769999999999999</v>
      </c>
      <c r="E18" s="37">
        <v>2.7490000000000001</v>
      </c>
      <c r="F18" s="37">
        <v>3.1360000000000001</v>
      </c>
      <c r="G18" s="37">
        <v>2.802</v>
      </c>
      <c r="H18" s="37">
        <v>2.9</v>
      </c>
      <c r="I18" s="37">
        <v>2.621</v>
      </c>
      <c r="J18" s="37">
        <v>2.8159999999999998</v>
      </c>
      <c r="K18" s="37">
        <v>2.6619999999999999</v>
      </c>
      <c r="L18" s="37">
        <v>2.7360000000000002</v>
      </c>
      <c r="M18" s="37">
        <v>2.92</v>
      </c>
      <c r="N18" s="19">
        <v>2.5409999999999999</v>
      </c>
      <c r="O18" s="19">
        <f t="shared" si="1"/>
        <v>34.069999999999993</v>
      </c>
    </row>
    <row r="19" spans="2:15" ht="24.95" customHeight="1">
      <c r="B19" s="15" t="s">
        <v>81</v>
      </c>
      <c r="C19" s="33">
        <f>SUM(C20:C25)</f>
        <v>8.0237999799999997</v>
      </c>
      <c r="D19" s="34">
        <f t="shared" ref="D19:N19" si="4">SUM(D20:D25)</f>
        <v>11.110304259999999</v>
      </c>
      <c r="E19" s="34">
        <f t="shared" si="4"/>
        <v>11.474367109999999</v>
      </c>
      <c r="F19" s="34">
        <f t="shared" si="4"/>
        <v>7.19881788</v>
      </c>
      <c r="G19" s="34">
        <f t="shared" si="4"/>
        <v>16.021689260000002</v>
      </c>
      <c r="H19" s="34">
        <f t="shared" si="4"/>
        <v>9.0788930699999995</v>
      </c>
      <c r="I19" s="34">
        <f t="shared" si="4"/>
        <v>7.8113968099999997</v>
      </c>
      <c r="J19" s="34">
        <f t="shared" si="4"/>
        <v>7.9580763300000008</v>
      </c>
      <c r="K19" s="34">
        <f t="shared" si="4"/>
        <v>8.4375983699999999</v>
      </c>
      <c r="L19" s="34">
        <f t="shared" si="4"/>
        <v>19.588134400000001</v>
      </c>
      <c r="M19" s="34">
        <f t="shared" si="4"/>
        <v>16.440000000000001</v>
      </c>
      <c r="N19" s="22">
        <f t="shared" si="4"/>
        <v>9.6133999999999986</v>
      </c>
      <c r="O19" s="22">
        <f t="shared" si="1"/>
        <v>132.75647746999999</v>
      </c>
    </row>
    <row r="20" spans="2:15">
      <c r="B20" s="35" t="s">
        <v>82</v>
      </c>
      <c r="C20" s="36">
        <v>0.22773518000000001</v>
      </c>
      <c r="D20" s="37">
        <v>0.10878709</v>
      </c>
      <c r="E20" s="37">
        <v>9.5960080000000003E-2</v>
      </c>
      <c r="F20" s="37">
        <v>0.77043813999999999</v>
      </c>
      <c r="G20" s="37">
        <v>0.18699688</v>
      </c>
      <c r="H20" s="37">
        <v>0.36533594000000003</v>
      </c>
      <c r="I20" s="37">
        <v>0.33339696000000002</v>
      </c>
      <c r="J20" s="37">
        <v>0.13480304000000001</v>
      </c>
      <c r="K20" s="37">
        <v>0.14486907999999998</v>
      </c>
      <c r="L20" s="37">
        <v>0.14038834</v>
      </c>
      <c r="M20" s="37">
        <v>0.44</v>
      </c>
      <c r="N20" s="19">
        <v>0.34339999999999993</v>
      </c>
      <c r="O20" s="19">
        <f t="shared" si="1"/>
        <v>3.2921107299999997</v>
      </c>
    </row>
    <row r="21" spans="2:15">
      <c r="B21" s="35" t="s">
        <v>83</v>
      </c>
      <c r="C21" s="36">
        <v>0</v>
      </c>
      <c r="D21" s="37">
        <v>0.88</v>
      </c>
      <c r="E21" s="37">
        <v>0.86948099999999995</v>
      </c>
      <c r="F21" s="37">
        <v>0</v>
      </c>
      <c r="G21" s="37">
        <v>3.6</v>
      </c>
      <c r="H21" s="37">
        <v>0</v>
      </c>
      <c r="I21" s="37">
        <v>0</v>
      </c>
      <c r="J21" s="37">
        <v>0</v>
      </c>
      <c r="K21" s="37">
        <v>0</v>
      </c>
      <c r="L21" s="37">
        <v>10</v>
      </c>
      <c r="M21" s="37">
        <v>10</v>
      </c>
      <c r="N21" s="19">
        <v>0</v>
      </c>
      <c r="O21" s="19">
        <f t="shared" si="1"/>
        <v>25.349481000000001</v>
      </c>
    </row>
    <row r="22" spans="2:15">
      <c r="B22" s="35" t="s">
        <v>84</v>
      </c>
      <c r="C22" s="36">
        <v>0.99421530000000002</v>
      </c>
      <c r="D22" s="37">
        <v>0.66040339999999997</v>
      </c>
      <c r="E22" s="37">
        <v>0.84901570000000004</v>
      </c>
      <c r="F22" s="37">
        <v>0.64678031000000002</v>
      </c>
      <c r="G22" s="37">
        <v>0.59900182999999996</v>
      </c>
      <c r="H22" s="37">
        <v>0.6519109099999999</v>
      </c>
      <c r="I22" s="37">
        <v>0.63817157999999996</v>
      </c>
      <c r="J22" s="37">
        <v>0.51881548999999993</v>
      </c>
      <c r="K22" s="37">
        <v>0.63032491000000002</v>
      </c>
      <c r="L22" s="37">
        <v>0.69006275000000006</v>
      </c>
      <c r="M22" s="37">
        <v>0.6</v>
      </c>
      <c r="N22" s="19">
        <v>0.55000000000000004</v>
      </c>
      <c r="O22" s="19">
        <f t="shared" si="1"/>
        <v>8.0287021799999998</v>
      </c>
    </row>
    <row r="23" spans="2:15">
      <c r="B23" s="35" t="s">
        <v>85</v>
      </c>
      <c r="C23" s="36">
        <v>2.4934380100000002</v>
      </c>
      <c r="D23" s="37">
        <v>2.3255400599999998</v>
      </c>
      <c r="E23" s="37">
        <v>2.5263165700000001</v>
      </c>
      <c r="F23" s="37">
        <v>2.47699735</v>
      </c>
      <c r="G23" s="37">
        <v>2.38344113</v>
      </c>
      <c r="H23" s="37">
        <v>2.3071627500000003</v>
      </c>
      <c r="I23" s="37">
        <v>2.6268834299999999</v>
      </c>
      <c r="J23" s="37">
        <v>2.1868401500000001</v>
      </c>
      <c r="K23" s="37">
        <v>2.2951153499999997</v>
      </c>
      <c r="L23" s="37">
        <v>2.3266990299999999</v>
      </c>
      <c r="M23" s="37">
        <v>2.2999999999999998</v>
      </c>
      <c r="N23" s="19">
        <v>2.38</v>
      </c>
      <c r="O23" s="19">
        <f t="shared" si="1"/>
        <v>28.628433830000002</v>
      </c>
    </row>
    <row r="24" spans="2:15">
      <c r="B24" s="35" t="s">
        <v>86</v>
      </c>
      <c r="C24" s="36">
        <v>1.33462119</v>
      </c>
      <c r="D24" s="37">
        <v>1.2355737099999999</v>
      </c>
      <c r="E24" s="37">
        <v>1.258788</v>
      </c>
      <c r="F24" s="37">
        <v>1.1413412000000001</v>
      </c>
      <c r="G24" s="37">
        <v>1.65224942</v>
      </c>
      <c r="H24" s="37">
        <v>1.47489172</v>
      </c>
      <c r="I24" s="37">
        <v>2.0198672700000002</v>
      </c>
      <c r="J24" s="37">
        <v>1.54778292</v>
      </c>
      <c r="K24" s="37">
        <v>1.70611639</v>
      </c>
      <c r="L24" s="37">
        <v>1.6279179700000002</v>
      </c>
      <c r="M24" s="37">
        <v>1.4</v>
      </c>
      <c r="N24" s="19">
        <v>1.76</v>
      </c>
      <c r="O24" s="19">
        <f t="shared" si="1"/>
        <v>18.159149790000001</v>
      </c>
    </row>
    <row r="25" spans="2:15">
      <c r="B25" s="35" t="s">
        <v>87</v>
      </c>
      <c r="C25" s="36">
        <v>2.9737903000000001</v>
      </c>
      <c r="D25" s="37">
        <v>5.9</v>
      </c>
      <c r="E25" s="37">
        <v>5.8748057600000001</v>
      </c>
      <c r="F25" s="37">
        <v>2.1632608800000002</v>
      </c>
      <c r="G25" s="37">
        <v>7.6</v>
      </c>
      <c r="H25" s="37">
        <v>4.2795917499999998</v>
      </c>
      <c r="I25" s="37">
        <v>2.1930775700000003</v>
      </c>
      <c r="J25" s="37">
        <v>3.5698347299999997</v>
      </c>
      <c r="K25" s="37">
        <v>3.6611726400000002</v>
      </c>
      <c r="L25" s="37">
        <v>4.8030663099999993</v>
      </c>
      <c r="M25" s="37">
        <v>1.7</v>
      </c>
      <c r="N25" s="19">
        <v>4.58</v>
      </c>
      <c r="O25" s="19">
        <f t="shared" si="1"/>
        <v>49.298599939999995</v>
      </c>
    </row>
    <row r="26" spans="2:15" ht="24.95" customHeight="1">
      <c r="B26" s="25" t="s">
        <v>88</v>
      </c>
      <c r="C26" s="33">
        <f>SUM(C27:C28)</f>
        <v>0.1</v>
      </c>
      <c r="D26" s="34">
        <f t="shared" ref="D26:N26" si="5">SUM(D27:D28)</f>
        <v>0.9</v>
      </c>
      <c r="E26" s="34">
        <f t="shared" si="5"/>
        <v>0.2</v>
      </c>
      <c r="F26" s="34">
        <f t="shared" si="5"/>
        <v>0.8</v>
      </c>
      <c r="G26" s="34">
        <f t="shared" si="5"/>
        <v>0.52490499999999995</v>
      </c>
      <c r="H26" s="34">
        <f t="shared" si="5"/>
        <v>9.4777269999999997E-2</v>
      </c>
      <c r="I26" s="34">
        <f t="shared" si="5"/>
        <v>0.3</v>
      </c>
      <c r="J26" s="34">
        <f t="shared" si="5"/>
        <v>0.2</v>
      </c>
      <c r="K26" s="34">
        <f t="shared" si="5"/>
        <v>12.1873</v>
      </c>
      <c r="L26" s="34">
        <f t="shared" si="5"/>
        <v>1.5</v>
      </c>
      <c r="M26" s="34">
        <f t="shared" si="5"/>
        <v>0.04</v>
      </c>
      <c r="N26" s="22">
        <f t="shared" si="5"/>
        <v>2.2000000000000002</v>
      </c>
      <c r="O26" s="22">
        <f t="shared" si="1"/>
        <v>19.046982269999997</v>
      </c>
    </row>
    <row r="27" spans="2:15">
      <c r="B27" s="35" t="s">
        <v>89</v>
      </c>
      <c r="C27" s="36">
        <v>0</v>
      </c>
      <c r="D27" s="37">
        <v>0</v>
      </c>
      <c r="E27" s="37">
        <v>0</v>
      </c>
      <c r="F27" s="37">
        <v>0</v>
      </c>
      <c r="G27" s="37">
        <v>2.4905E-2</v>
      </c>
      <c r="H27" s="37">
        <v>1.477727E-2</v>
      </c>
      <c r="I27" s="37">
        <v>0</v>
      </c>
      <c r="J27" s="37">
        <v>0</v>
      </c>
      <c r="K27" s="37">
        <v>0</v>
      </c>
      <c r="L27" s="37">
        <v>0</v>
      </c>
      <c r="M27" s="37">
        <v>0.04</v>
      </c>
      <c r="N27" s="19">
        <v>0</v>
      </c>
      <c r="O27" s="19">
        <f t="shared" si="1"/>
        <v>7.9682269999999999E-2</v>
      </c>
    </row>
    <row r="28" spans="2:15">
      <c r="B28" s="35" t="s">
        <v>90</v>
      </c>
      <c r="C28" s="36">
        <v>0.1</v>
      </c>
      <c r="D28" s="37">
        <v>0.9</v>
      </c>
      <c r="E28" s="37">
        <v>0.2</v>
      </c>
      <c r="F28" s="37">
        <v>0.8</v>
      </c>
      <c r="G28" s="37">
        <v>0.5</v>
      </c>
      <c r="H28" s="37">
        <v>0.08</v>
      </c>
      <c r="I28" s="37">
        <v>0.3</v>
      </c>
      <c r="J28" s="37">
        <v>0.2</v>
      </c>
      <c r="K28" s="37">
        <v>12.1873</v>
      </c>
      <c r="L28" s="37">
        <v>1.5</v>
      </c>
      <c r="M28" s="37">
        <v>0</v>
      </c>
      <c r="N28" s="19">
        <v>2.2000000000000002</v>
      </c>
      <c r="O28" s="19">
        <f t="shared" si="1"/>
        <v>18.967299999999998</v>
      </c>
    </row>
    <row r="29" spans="2:15" ht="24.95" customHeight="1">
      <c r="B29" s="38" t="s">
        <v>91</v>
      </c>
      <c r="C29" s="39">
        <f>+C7+C26</f>
        <v>269.30008723999998</v>
      </c>
      <c r="D29" s="40">
        <f t="shared" ref="D29:N29" si="6">+D7+D26</f>
        <v>225.94423044999996</v>
      </c>
      <c r="E29" s="40">
        <f t="shared" si="6"/>
        <v>229.03871607999997</v>
      </c>
      <c r="F29" s="40">
        <f t="shared" si="6"/>
        <v>399.70227180000001</v>
      </c>
      <c r="G29" s="40">
        <f t="shared" si="6"/>
        <v>244.62477777999999</v>
      </c>
      <c r="H29" s="40">
        <f t="shared" si="6"/>
        <v>230.19159115999997</v>
      </c>
      <c r="I29" s="40">
        <f t="shared" si="6"/>
        <v>232.64219681</v>
      </c>
      <c r="J29" s="40">
        <f t="shared" si="6"/>
        <v>225.37340063000002</v>
      </c>
      <c r="K29" s="40">
        <f t="shared" si="6"/>
        <v>226.37622472999999</v>
      </c>
      <c r="L29" s="40">
        <f t="shared" si="6"/>
        <v>242.35260447000002</v>
      </c>
      <c r="M29" s="40">
        <f t="shared" si="6"/>
        <v>226.68699999999998</v>
      </c>
      <c r="N29" s="41">
        <f t="shared" si="6"/>
        <v>235.5274</v>
      </c>
      <c r="O29" s="41">
        <f>SUM(C29:N29)</f>
        <v>2987.76050115</v>
      </c>
    </row>
    <row r="30" spans="2:15" ht="8.25" customHeight="1">
      <c r="B30" s="42"/>
      <c r="C30" s="36"/>
      <c r="D30" s="37"/>
      <c r="E30" s="37"/>
      <c r="F30" s="37"/>
      <c r="G30" s="37"/>
      <c r="H30" s="37"/>
      <c r="I30" s="37"/>
      <c r="J30" s="37"/>
      <c r="K30" s="37"/>
      <c r="L30" s="37"/>
      <c r="M30" s="37"/>
      <c r="N30" s="19"/>
      <c r="O30" s="19"/>
    </row>
    <row r="31" spans="2:15" ht="24.95" customHeight="1">
      <c r="B31" s="25" t="s">
        <v>92</v>
      </c>
      <c r="C31" s="33">
        <f>SUM(C32:C33)</f>
        <v>24.306350209999998</v>
      </c>
      <c r="D31" s="34">
        <f t="shared" ref="D31:N31" si="7">SUM(D32:D33)</f>
        <v>14.04127531</v>
      </c>
      <c r="E31" s="34">
        <f t="shared" si="7"/>
        <v>29.474478630000004</v>
      </c>
      <c r="F31" s="34">
        <f t="shared" si="7"/>
        <v>29.326653289999999</v>
      </c>
      <c r="G31" s="34">
        <f t="shared" si="7"/>
        <v>10.455140889999999</v>
      </c>
      <c r="H31" s="34">
        <f t="shared" si="7"/>
        <v>30.35375943</v>
      </c>
      <c r="I31" s="34">
        <f t="shared" si="7"/>
        <v>18.80448428</v>
      </c>
      <c r="J31" s="34">
        <f t="shared" si="7"/>
        <v>21.012148490000001</v>
      </c>
      <c r="K31" s="34">
        <f t="shared" si="7"/>
        <v>16.67674375</v>
      </c>
      <c r="L31" s="34">
        <f t="shared" si="7"/>
        <v>9.929905999999999</v>
      </c>
      <c r="M31" s="34">
        <f t="shared" si="7"/>
        <v>12.092600000000001</v>
      </c>
      <c r="N31" s="22">
        <f t="shared" si="7"/>
        <v>10.17</v>
      </c>
      <c r="O31" s="22">
        <f>SUM(C31:N31)</f>
        <v>226.64354027999997</v>
      </c>
    </row>
    <row r="32" spans="2:15">
      <c r="B32" s="43" t="s">
        <v>93</v>
      </c>
      <c r="C32" s="36">
        <v>0</v>
      </c>
      <c r="D32" s="37">
        <v>0</v>
      </c>
      <c r="E32" s="37">
        <v>0.8</v>
      </c>
      <c r="F32" s="37">
        <v>2.5</v>
      </c>
      <c r="G32" s="37">
        <v>0</v>
      </c>
      <c r="H32" s="37">
        <v>19.8</v>
      </c>
      <c r="I32" s="37">
        <v>7.9</v>
      </c>
      <c r="J32" s="37">
        <v>9</v>
      </c>
      <c r="K32" s="37">
        <v>7.1</v>
      </c>
      <c r="L32" s="37">
        <v>1.1240832199999999</v>
      </c>
      <c r="M32" s="37">
        <v>3</v>
      </c>
      <c r="N32" s="19">
        <v>3.43</v>
      </c>
      <c r="O32" s="19">
        <f>SUM(C32:N32)</f>
        <v>54.654083220000004</v>
      </c>
    </row>
    <row r="33" spans="2:15">
      <c r="B33" s="44" t="s">
        <v>94</v>
      </c>
      <c r="C33" s="45">
        <v>24.306350209999998</v>
      </c>
      <c r="D33" s="46">
        <v>14.04127531</v>
      </c>
      <c r="E33" s="46">
        <v>28.674478630000003</v>
      </c>
      <c r="F33" s="46">
        <v>26.826653289999999</v>
      </c>
      <c r="G33" s="46">
        <v>10.455140889999999</v>
      </c>
      <c r="H33" s="46">
        <v>10.553759429999999</v>
      </c>
      <c r="I33" s="46">
        <v>10.90448428</v>
      </c>
      <c r="J33" s="46">
        <v>12.01214849</v>
      </c>
      <c r="K33" s="46">
        <v>9.5767437500000003</v>
      </c>
      <c r="L33" s="46">
        <v>8.8058227799999997</v>
      </c>
      <c r="M33" s="46">
        <v>9.0926000000000009</v>
      </c>
      <c r="N33" s="47">
        <v>6.74</v>
      </c>
      <c r="O33" s="47">
        <f>SUM(C33:N33)</f>
        <v>171.98945705999998</v>
      </c>
    </row>
    <row r="34" spans="2:15">
      <c r="B34" s="48" t="s">
        <v>95</v>
      </c>
      <c r="C34" s="2"/>
      <c r="D34" s="2"/>
      <c r="E34" s="2"/>
      <c r="F34" s="2"/>
      <c r="G34" s="2"/>
      <c r="H34" s="2"/>
      <c r="I34" s="2"/>
      <c r="J34" s="2"/>
      <c r="K34" s="2"/>
      <c r="L34" s="2"/>
      <c r="M34" s="2"/>
      <c r="N34" s="2"/>
      <c r="O34" s="2"/>
    </row>
    <row r="35" spans="2:15">
      <c r="B35" s="48" t="s">
        <v>96</v>
      </c>
      <c r="C35" s="2"/>
      <c r="D35" s="2"/>
      <c r="E35" s="2"/>
      <c r="F35" s="2"/>
      <c r="G35" s="2"/>
      <c r="H35" s="2"/>
      <c r="I35" s="2"/>
      <c r="J35" s="2"/>
      <c r="K35" s="2"/>
      <c r="L35" s="2"/>
      <c r="M35" s="2"/>
      <c r="N35" s="2"/>
      <c r="O35" s="2"/>
    </row>
    <row r="36" spans="2:15">
      <c r="B36" s="48" t="s">
        <v>97</v>
      </c>
      <c r="C36" s="2"/>
      <c r="D36" s="2"/>
      <c r="E36" s="2"/>
      <c r="F36" s="2"/>
      <c r="G36" s="2"/>
      <c r="H36" s="2"/>
      <c r="I36" s="2"/>
      <c r="J36" s="2"/>
      <c r="K36" s="2"/>
      <c r="L36" s="2"/>
      <c r="M36" s="2"/>
      <c r="N36" s="2"/>
      <c r="O36" s="2"/>
    </row>
  </sheetData>
  <printOptions horizontalCentered="1"/>
  <pageMargins left="0.7" right="0.7" top="0.75" bottom="0.75" header="0.3" footer="0.3"/>
  <pageSetup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O36"/>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s>
  <sheetData>
    <row r="2" spans="2:15">
      <c r="B2" t="s">
        <v>18</v>
      </c>
    </row>
    <row r="3" spans="2:15">
      <c r="B3" t="s">
        <v>237</v>
      </c>
    </row>
    <row r="4" spans="2:15">
      <c r="B4" t="s">
        <v>19</v>
      </c>
    </row>
    <row r="6" spans="2:15"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2010</v>
      </c>
    </row>
    <row r="7" spans="2:15" ht="24.95" customHeight="1">
      <c r="B7" s="25" t="s">
        <v>71</v>
      </c>
      <c r="C7" s="33">
        <f>+C8+C19</f>
        <v>272.01099598999997</v>
      </c>
      <c r="D7" s="34">
        <f>+D8+D19</f>
        <v>235.59402089</v>
      </c>
      <c r="E7" s="34">
        <f t="shared" ref="E7:M7" si="0">+E8+E19</f>
        <v>252.22456535000001</v>
      </c>
      <c r="F7" s="34">
        <f t="shared" si="0"/>
        <v>454.27694364999996</v>
      </c>
      <c r="G7" s="34">
        <f t="shared" si="0"/>
        <v>244.43775141000006</v>
      </c>
      <c r="H7" s="34">
        <f t="shared" si="0"/>
        <v>257.40496825999998</v>
      </c>
      <c r="I7" s="34">
        <f t="shared" si="0"/>
        <v>260.33034389999995</v>
      </c>
      <c r="J7" s="34">
        <f t="shared" si="0"/>
        <v>242.44169873999996</v>
      </c>
      <c r="K7" s="34">
        <f t="shared" si="0"/>
        <v>244.55689734000001</v>
      </c>
      <c r="L7" s="34">
        <f t="shared" si="0"/>
        <v>260.87784478999993</v>
      </c>
      <c r="M7" s="34">
        <f t="shared" si="0"/>
        <v>259.93975348999999</v>
      </c>
      <c r="N7" s="22">
        <f>+N8+N19</f>
        <v>267.08159302000001</v>
      </c>
      <c r="O7" s="22">
        <f t="shared" ref="O7:O28" si="1">SUM(C7:N7)</f>
        <v>3251.17737683</v>
      </c>
    </row>
    <row r="8" spans="2:15" ht="24.95" customHeight="1">
      <c r="B8" s="15" t="s">
        <v>72</v>
      </c>
      <c r="C8" s="33">
        <f>SUM(C9:C14)</f>
        <v>253.97380582999998</v>
      </c>
      <c r="D8" s="34">
        <f t="shared" ref="D8:N8" si="2">SUM(D9:D14)</f>
        <v>221.87873694999999</v>
      </c>
      <c r="E8" s="34">
        <f t="shared" si="2"/>
        <v>233.67832466999999</v>
      </c>
      <c r="F8" s="34">
        <f t="shared" si="2"/>
        <v>442.47874364999996</v>
      </c>
      <c r="G8" s="34">
        <f t="shared" si="2"/>
        <v>229.08941009000006</v>
      </c>
      <c r="H8" s="34">
        <f t="shared" si="2"/>
        <v>244.30302376999998</v>
      </c>
      <c r="I8" s="34">
        <f t="shared" si="2"/>
        <v>241.57034404999996</v>
      </c>
      <c r="J8" s="34">
        <f t="shared" si="2"/>
        <v>228.58139042999997</v>
      </c>
      <c r="K8" s="34">
        <f t="shared" si="2"/>
        <v>226.58633280000001</v>
      </c>
      <c r="L8" s="34">
        <f t="shared" si="2"/>
        <v>243.68054042999995</v>
      </c>
      <c r="M8" s="34">
        <f t="shared" si="2"/>
        <v>250.35698683999999</v>
      </c>
      <c r="N8" s="22">
        <f t="shared" si="2"/>
        <v>255.61160000000001</v>
      </c>
      <c r="O8" s="22">
        <f t="shared" si="1"/>
        <v>3071.7892395099998</v>
      </c>
    </row>
    <row r="9" spans="2:15">
      <c r="B9" s="35" t="s">
        <v>73</v>
      </c>
      <c r="C9" s="36">
        <v>132.69392768</v>
      </c>
      <c r="D9" s="37">
        <v>119.42779401</v>
      </c>
      <c r="E9" s="37">
        <v>130.09836572</v>
      </c>
      <c r="F9" s="37">
        <v>133.39319745999998</v>
      </c>
      <c r="G9" s="37">
        <v>125.93279326000001</v>
      </c>
      <c r="H9" s="37">
        <v>135.25526063000001</v>
      </c>
      <c r="I9" s="37">
        <v>130.3047665</v>
      </c>
      <c r="J9" s="37">
        <v>123.52427661</v>
      </c>
      <c r="K9" s="37">
        <v>124.84759539999999</v>
      </c>
      <c r="L9" s="37">
        <v>132.77769999999998</v>
      </c>
      <c r="M9" s="37">
        <v>139.51047007</v>
      </c>
      <c r="N9" s="19">
        <v>138.5</v>
      </c>
      <c r="O9" s="19">
        <f t="shared" si="1"/>
        <v>1566.2661473399999</v>
      </c>
    </row>
    <row r="10" spans="2:15">
      <c r="B10" s="35" t="s">
        <v>24</v>
      </c>
      <c r="C10" s="36">
        <v>81.577994489999995</v>
      </c>
      <c r="D10" s="37">
        <v>69.758366409999994</v>
      </c>
      <c r="E10" s="37">
        <v>67.455246720000005</v>
      </c>
      <c r="F10" s="37">
        <v>272.65982219000006</v>
      </c>
      <c r="G10" s="37">
        <v>68.122541889999994</v>
      </c>
      <c r="H10" s="37">
        <v>70.561365069999994</v>
      </c>
      <c r="I10" s="37">
        <v>73.048974549999997</v>
      </c>
      <c r="J10" s="37">
        <v>70.24203224</v>
      </c>
      <c r="K10" s="37">
        <v>64.704048669999992</v>
      </c>
      <c r="L10" s="37">
        <v>71.64390976</v>
      </c>
      <c r="M10" s="37">
        <v>67.95845147</v>
      </c>
      <c r="N10" s="19">
        <v>73.7</v>
      </c>
      <c r="O10" s="19">
        <f t="shared" si="1"/>
        <v>1051.43275346</v>
      </c>
    </row>
    <row r="11" spans="2:15">
      <c r="B11" s="35" t="s">
        <v>27</v>
      </c>
      <c r="C11" s="36">
        <v>10.310581130000001</v>
      </c>
      <c r="D11" s="37">
        <v>9.9364615300000008</v>
      </c>
      <c r="E11" s="37">
        <v>12.904653339999999</v>
      </c>
      <c r="F11" s="37">
        <v>11.504721389999998</v>
      </c>
      <c r="G11" s="37">
        <v>11.090453399999999</v>
      </c>
      <c r="H11" s="37">
        <v>13.025952869999999</v>
      </c>
      <c r="I11" s="37">
        <v>12.98663021</v>
      </c>
      <c r="J11" s="37">
        <v>11.49346132</v>
      </c>
      <c r="K11" s="37">
        <v>13.220805070000001</v>
      </c>
      <c r="L11" s="37">
        <v>13.84</v>
      </c>
      <c r="M11" s="37">
        <v>15.903768229999999</v>
      </c>
      <c r="N11" s="19">
        <v>14.3</v>
      </c>
      <c r="O11" s="19">
        <f t="shared" si="1"/>
        <v>150.51748849000001</v>
      </c>
    </row>
    <row r="12" spans="2:15">
      <c r="B12" s="35" t="s">
        <v>74</v>
      </c>
      <c r="C12" s="36">
        <v>10.75867978</v>
      </c>
      <c r="D12" s="37">
        <v>7.0688817999999998</v>
      </c>
      <c r="E12" s="37">
        <v>8.7308549400000004</v>
      </c>
      <c r="F12" s="37">
        <v>9.3733635200000016</v>
      </c>
      <c r="G12" s="37">
        <v>9.30523934</v>
      </c>
      <c r="H12" s="37">
        <v>9.8561760599999992</v>
      </c>
      <c r="I12" s="37">
        <v>9.9293368799999993</v>
      </c>
      <c r="J12" s="37">
        <v>8.8586188399999983</v>
      </c>
      <c r="K12" s="37">
        <v>9.6391322199999987</v>
      </c>
      <c r="L12" s="37">
        <v>10.3575</v>
      </c>
      <c r="M12" s="37">
        <v>12.06687457</v>
      </c>
      <c r="N12" s="19">
        <v>13.72</v>
      </c>
      <c r="O12" s="19">
        <f t="shared" si="1"/>
        <v>119.66465794999999</v>
      </c>
    </row>
    <row r="13" spans="2:15">
      <c r="B13" s="35" t="s">
        <v>75</v>
      </c>
      <c r="C13" s="36">
        <v>8.6</v>
      </c>
      <c r="D13" s="37">
        <v>6.5</v>
      </c>
      <c r="E13" s="37">
        <v>5.5</v>
      </c>
      <c r="F13" s="37">
        <v>5.4</v>
      </c>
      <c r="G13" s="37">
        <v>5.3</v>
      </c>
      <c r="H13" s="37">
        <v>6.5</v>
      </c>
      <c r="I13" s="37">
        <v>6.1</v>
      </c>
      <c r="J13" s="37">
        <v>5.2</v>
      </c>
      <c r="K13" s="37">
        <v>5.52</v>
      </c>
      <c r="L13" s="37">
        <v>6</v>
      </c>
      <c r="M13" s="37">
        <v>6.0125493800000012</v>
      </c>
      <c r="N13" s="19">
        <v>5.7653999999999996</v>
      </c>
      <c r="O13" s="19">
        <f t="shared" si="1"/>
        <v>72.39794938</v>
      </c>
    </row>
    <row r="14" spans="2:15">
      <c r="B14" s="35" t="s">
        <v>76</v>
      </c>
      <c r="C14" s="36">
        <f>SUM(C15:C18)</f>
        <v>10.032622749999998</v>
      </c>
      <c r="D14" s="37">
        <f t="shared" ref="D14:N14" si="3">SUM(D15:D18)</f>
        <v>9.1872331999999997</v>
      </c>
      <c r="E14" s="37">
        <f t="shared" si="3"/>
        <v>8.9892039500000003</v>
      </c>
      <c r="F14" s="37">
        <f t="shared" si="3"/>
        <v>10.147639089999998</v>
      </c>
      <c r="G14" s="37">
        <f t="shared" si="3"/>
        <v>9.3383821999999999</v>
      </c>
      <c r="H14" s="37">
        <f t="shared" si="3"/>
        <v>9.1042691399999995</v>
      </c>
      <c r="I14" s="37">
        <f t="shared" si="3"/>
        <v>9.200635909999999</v>
      </c>
      <c r="J14" s="37">
        <f t="shared" si="3"/>
        <v>9.2630014200000002</v>
      </c>
      <c r="K14" s="37">
        <f t="shared" si="3"/>
        <v>8.6547514400000001</v>
      </c>
      <c r="L14" s="37">
        <f t="shared" si="3"/>
        <v>9.06143067</v>
      </c>
      <c r="M14" s="37">
        <f t="shared" si="3"/>
        <v>8.9048731199999995</v>
      </c>
      <c r="N14" s="19">
        <f t="shared" si="3"/>
        <v>9.626199999999999</v>
      </c>
      <c r="O14" s="19">
        <f t="shared" si="1"/>
        <v>111.51024289</v>
      </c>
    </row>
    <row r="15" spans="2:15">
      <c r="B15" s="17" t="s">
        <v>77</v>
      </c>
      <c r="C15" s="36">
        <v>6.3974889999999993</v>
      </c>
      <c r="D15" s="37">
        <v>5.76349146</v>
      </c>
      <c r="E15" s="37">
        <v>5.5657833999999999</v>
      </c>
      <c r="F15" s="37">
        <v>6.3005085999999988</v>
      </c>
      <c r="G15" s="37">
        <v>5.8245442000000001</v>
      </c>
      <c r="H15" s="37">
        <v>5.4393039999999999</v>
      </c>
      <c r="I15" s="37">
        <v>5.5655871999999995</v>
      </c>
      <c r="J15" s="37">
        <v>5.7453561999999998</v>
      </c>
      <c r="K15" s="37">
        <v>5.3641110000000003</v>
      </c>
      <c r="L15" s="37">
        <v>5.5614999999999997</v>
      </c>
      <c r="M15" s="37">
        <v>5.5090947999999997</v>
      </c>
      <c r="N15" s="19">
        <v>5.9595999999999991</v>
      </c>
      <c r="O15" s="19">
        <f t="shared" si="1"/>
        <v>68.996369860000001</v>
      </c>
    </row>
    <row r="16" spans="2:15">
      <c r="B16" s="17" t="s">
        <v>78</v>
      </c>
      <c r="C16" s="36">
        <v>0</v>
      </c>
      <c r="D16" s="37">
        <v>0</v>
      </c>
      <c r="E16" s="37">
        <v>0</v>
      </c>
      <c r="F16" s="37">
        <v>0</v>
      </c>
      <c r="G16" s="37">
        <v>0</v>
      </c>
      <c r="H16" s="37">
        <v>0.18784927999999998</v>
      </c>
      <c r="I16" s="37">
        <v>0.14965494000000001</v>
      </c>
      <c r="J16" s="37">
        <v>0</v>
      </c>
      <c r="K16" s="37">
        <v>0</v>
      </c>
      <c r="L16" s="37">
        <v>0.12740000000000001</v>
      </c>
      <c r="M16" s="37">
        <v>0</v>
      </c>
      <c r="N16" s="19">
        <v>0</v>
      </c>
      <c r="O16" s="19">
        <f t="shared" si="1"/>
        <v>0.46490422000000003</v>
      </c>
    </row>
    <row r="17" spans="2:15">
      <c r="B17" s="17" t="s">
        <v>79</v>
      </c>
      <c r="C17" s="36">
        <v>0.43623925000000002</v>
      </c>
      <c r="D17" s="37">
        <v>0.54447403999999999</v>
      </c>
      <c r="E17" s="37">
        <v>0.64202884999999998</v>
      </c>
      <c r="F17" s="37">
        <v>0.67392618999999998</v>
      </c>
      <c r="G17" s="37">
        <v>0.59756590000000009</v>
      </c>
      <c r="H17" s="37">
        <v>0.74886385999999994</v>
      </c>
      <c r="I17" s="37">
        <v>0.70260017000000008</v>
      </c>
      <c r="J17" s="37">
        <v>0.63201711999999999</v>
      </c>
      <c r="K17" s="37">
        <v>0.60113494000000001</v>
      </c>
      <c r="L17" s="37">
        <v>0.57453067000000002</v>
      </c>
      <c r="M17" s="37">
        <v>0.6404309199999999</v>
      </c>
      <c r="N17" s="19">
        <v>0.68140000000000012</v>
      </c>
      <c r="O17" s="19">
        <f t="shared" si="1"/>
        <v>7.4752119100000005</v>
      </c>
    </row>
    <row r="18" spans="2:15">
      <c r="B18" s="17" t="s">
        <v>80</v>
      </c>
      <c r="C18" s="36">
        <v>3.1988944999999998</v>
      </c>
      <c r="D18" s="37">
        <v>2.8792677000000002</v>
      </c>
      <c r="E18" s="37">
        <v>2.7813916999999999</v>
      </c>
      <c r="F18" s="37">
        <v>3.1732043000000001</v>
      </c>
      <c r="G18" s="37">
        <v>2.9162721</v>
      </c>
      <c r="H18" s="37">
        <v>2.7282519999999999</v>
      </c>
      <c r="I18" s="37">
        <v>2.7827935999999998</v>
      </c>
      <c r="J18" s="37">
        <v>2.8856280999999999</v>
      </c>
      <c r="K18" s="37">
        <v>2.6895055000000001</v>
      </c>
      <c r="L18" s="37">
        <v>2.798</v>
      </c>
      <c r="M18" s="37">
        <v>2.7553474000000002</v>
      </c>
      <c r="N18" s="19">
        <v>2.9851999999999999</v>
      </c>
      <c r="O18" s="19">
        <f t="shared" si="1"/>
        <v>34.573756899999999</v>
      </c>
    </row>
    <row r="19" spans="2:15" ht="24.95" customHeight="1">
      <c r="B19" s="15" t="s">
        <v>81</v>
      </c>
      <c r="C19" s="33">
        <f>SUM(C20:C25)</f>
        <v>18.037190159999998</v>
      </c>
      <c r="D19" s="34">
        <f t="shared" ref="D19:N19" si="4">SUM(D20:D25)</f>
        <v>13.715283939999999</v>
      </c>
      <c r="E19" s="34">
        <f t="shared" si="4"/>
        <v>18.54624068</v>
      </c>
      <c r="F19" s="34">
        <f t="shared" si="4"/>
        <v>11.798200000000001</v>
      </c>
      <c r="G19" s="34">
        <f t="shared" si="4"/>
        <v>15.348341320000005</v>
      </c>
      <c r="H19" s="34">
        <f t="shared" si="4"/>
        <v>13.101944490000001</v>
      </c>
      <c r="I19" s="34">
        <f t="shared" si="4"/>
        <v>18.75999985</v>
      </c>
      <c r="J19" s="34">
        <f t="shared" si="4"/>
        <v>13.860308310000001</v>
      </c>
      <c r="K19" s="34">
        <f t="shared" si="4"/>
        <v>17.970564539999998</v>
      </c>
      <c r="L19" s="34">
        <f t="shared" si="4"/>
        <v>17.19730436</v>
      </c>
      <c r="M19" s="34">
        <f t="shared" si="4"/>
        <v>9.5827666499999999</v>
      </c>
      <c r="N19" s="22">
        <f t="shared" si="4"/>
        <v>11.469993020000004</v>
      </c>
      <c r="O19" s="22">
        <f t="shared" si="1"/>
        <v>179.38813732000003</v>
      </c>
    </row>
    <row r="20" spans="2:15">
      <c r="B20" s="35" t="s">
        <v>82</v>
      </c>
      <c r="C20" s="36">
        <v>0.24791647</v>
      </c>
      <c r="D20" s="37">
        <v>0.99755738000000005</v>
      </c>
      <c r="E20" s="37">
        <v>0.15142169999999999</v>
      </c>
      <c r="F20" s="37">
        <v>0.35645839000000007</v>
      </c>
      <c r="G20" s="37">
        <v>0.33806432999999997</v>
      </c>
      <c r="H20" s="37">
        <v>0.7003522499999999</v>
      </c>
      <c r="I20" s="37">
        <v>0.30708112999999998</v>
      </c>
      <c r="J20" s="37">
        <v>0.16102877000000002</v>
      </c>
      <c r="K20" s="37">
        <v>0.13943927</v>
      </c>
      <c r="L20" s="37">
        <v>0.25765065999999998</v>
      </c>
      <c r="M20" s="37">
        <v>0.14371242000000001</v>
      </c>
      <c r="N20" s="19">
        <v>0.31008072999999997</v>
      </c>
      <c r="O20" s="19">
        <f t="shared" si="1"/>
        <v>4.1107635</v>
      </c>
    </row>
    <row r="21" spans="2:15">
      <c r="B21" s="35" t="s">
        <v>83</v>
      </c>
      <c r="C21" s="36">
        <v>0</v>
      </c>
      <c r="D21" s="37">
        <v>0</v>
      </c>
      <c r="E21" s="37">
        <v>0</v>
      </c>
      <c r="F21" s="37">
        <v>0</v>
      </c>
      <c r="G21" s="37">
        <v>4.7054830000000001</v>
      </c>
      <c r="H21" s="37">
        <v>0</v>
      </c>
      <c r="I21" s="37">
        <v>5</v>
      </c>
      <c r="J21" s="37">
        <v>5</v>
      </c>
      <c r="K21" s="37">
        <v>5</v>
      </c>
      <c r="L21" s="37">
        <v>5</v>
      </c>
      <c r="M21" s="37">
        <v>0</v>
      </c>
      <c r="N21" s="19">
        <v>0</v>
      </c>
      <c r="O21" s="19">
        <f t="shared" si="1"/>
        <v>24.705483000000001</v>
      </c>
    </row>
    <row r="22" spans="2:15">
      <c r="B22" s="35" t="s">
        <v>84</v>
      </c>
      <c r="C22" s="36">
        <v>2.13933127</v>
      </c>
      <c r="D22" s="37">
        <v>2.73183679</v>
      </c>
      <c r="E22" s="37">
        <v>2.7461878500000001</v>
      </c>
      <c r="F22" s="37">
        <v>2.7909629100000002</v>
      </c>
      <c r="G22" s="37">
        <v>2.7688913999999998</v>
      </c>
      <c r="H22" s="37">
        <v>2.5260807000000001</v>
      </c>
      <c r="I22" s="37">
        <v>2.6761604499999998</v>
      </c>
      <c r="J22" s="37">
        <v>2.6513206899999999</v>
      </c>
      <c r="K22" s="37">
        <v>2.79626698</v>
      </c>
      <c r="L22" s="37">
        <v>2.9498011399999999</v>
      </c>
      <c r="M22" s="37">
        <v>3.0211915400000002</v>
      </c>
      <c r="N22" s="19">
        <v>3.7098948200000001</v>
      </c>
      <c r="O22" s="19">
        <f t="shared" si="1"/>
        <v>33.50792654</v>
      </c>
    </row>
    <row r="23" spans="2:15">
      <c r="B23" s="35" t="s">
        <v>85</v>
      </c>
      <c r="C23" s="36">
        <v>2.4638258099999999</v>
      </c>
      <c r="D23" s="37">
        <v>2.3200203699999999</v>
      </c>
      <c r="E23" s="37">
        <v>2.7353364400000002</v>
      </c>
      <c r="F23" s="37">
        <v>2.68996872</v>
      </c>
      <c r="G23" s="37">
        <v>2.4184452600000004</v>
      </c>
      <c r="H23" s="37">
        <v>2.4746068499999998</v>
      </c>
      <c r="I23" s="37">
        <v>2.6792069900000004</v>
      </c>
      <c r="J23" s="37">
        <v>2.3387316199999999</v>
      </c>
      <c r="K23" s="37">
        <v>2.7091964700000002</v>
      </c>
      <c r="L23" s="37">
        <v>2.6220385100000003</v>
      </c>
      <c r="M23" s="37">
        <v>2.6902975499999995</v>
      </c>
      <c r="N23" s="19">
        <v>2.51646619</v>
      </c>
      <c r="O23" s="19">
        <f t="shared" si="1"/>
        <v>30.65814078</v>
      </c>
    </row>
    <row r="24" spans="2:15">
      <c r="B24" s="35" t="s">
        <v>86</v>
      </c>
      <c r="C24" s="36">
        <v>1.7718796000000001</v>
      </c>
      <c r="D24" s="37">
        <v>2.30647073</v>
      </c>
      <c r="E24" s="37">
        <v>2.4445605399999999</v>
      </c>
      <c r="F24" s="37">
        <v>2.24843298</v>
      </c>
      <c r="G24" s="37">
        <v>2.61338304</v>
      </c>
      <c r="H24" s="37">
        <v>3.28496253</v>
      </c>
      <c r="I24" s="37">
        <v>2.1194786899999998</v>
      </c>
      <c r="J24" s="37">
        <v>2.1445373700000001</v>
      </c>
      <c r="K24" s="37">
        <v>1.91676669</v>
      </c>
      <c r="L24" s="37">
        <v>1.83503734</v>
      </c>
      <c r="M24" s="37">
        <v>1.7943341900000001</v>
      </c>
      <c r="N24" s="19">
        <v>1.8932789800000001</v>
      </c>
      <c r="O24" s="19">
        <f t="shared" si="1"/>
        <v>26.373122680000002</v>
      </c>
    </row>
    <row r="25" spans="2:15">
      <c r="B25" s="35" t="s">
        <v>87</v>
      </c>
      <c r="C25" s="36">
        <v>11.414237009999999</v>
      </c>
      <c r="D25" s="37">
        <v>5.3593986699999991</v>
      </c>
      <c r="E25" s="37">
        <v>10.46873415</v>
      </c>
      <c r="F25" s="37">
        <v>3.7123770000000005</v>
      </c>
      <c r="G25" s="37">
        <v>2.5040742900000041</v>
      </c>
      <c r="H25" s="37">
        <v>4.1159421600000012</v>
      </c>
      <c r="I25" s="37">
        <v>5.97807259</v>
      </c>
      <c r="J25" s="37">
        <v>1.5646898600000005</v>
      </c>
      <c r="K25" s="37">
        <v>5.4088951299999968</v>
      </c>
      <c r="L25" s="37">
        <v>4.5327767100000012</v>
      </c>
      <c r="M25" s="37">
        <v>1.9332309500000002</v>
      </c>
      <c r="N25" s="19">
        <v>3.0402723000000025</v>
      </c>
      <c r="O25" s="19">
        <f t="shared" si="1"/>
        <v>60.032700820000017</v>
      </c>
    </row>
    <row r="26" spans="2:15" ht="24.95" customHeight="1">
      <c r="B26" s="25" t="s">
        <v>88</v>
      </c>
      <c r="C26" s="33">
        <f>SUM(C27:C28)</f>
        <v>0.3098976</v>
      </c>
      <c r="D26" s="34">
        <f t="shared" ref="D26:N26" si="5">SUM(D27:D28)</f>
        <v>6.5229161500000004</v>
      </c>
      <c r="E26" s="34">
        <f t="shared" si="5"/>
        <v>0.55322500000000008</v>
      </c>
      <c r="F26" s="34">
        <f t="shared" si="5"/>
        <v>3.7049609999999997E-2</v>
      </c>
      <c r="G26" s="34">
        <f t="shared" si="5"/>
        <v>0.72569412</v>
      </c>
      <c r="H26" s="34">
        <f t="shared" si="5"/>
        <v>0.14268866999999999</v>
      </c>
      <c r="I26" s="34">
        <f t="shared" si="5"/>
        <v>1.00108643</v>
      </c>
      <c r="J26" s="34">
        <f t="shared" si="5"/>
        <v>1.3716592599999999</v>
      </c>
      <c r="K26" s="34">
        <f t="shared" si="5"/>
        <v>0.46599353000000004</v>
      </c>
      <c r="L26" s="34">
        <f t="shared" si="5"/>
        <v>0.52247241</v>
      </c>
      <c r="M26" s="34">
        <f t="shared" si="5"/>
        <v>2.85373652</v>
      </c>
      <c r="N26" s="22">
        <f t="shared" si="5"/>
        <v>2.29</v>
      </c>
      <c r="O26" s="22">
        <f t="shared" si="1"/>
        <v>16.7964193</v>
      </c>
    </row>
    <row r="27" spans="2:15">
      <c r="B27" s="35" t="s">
        <v>89</v>
      </c>
      <c r="C27" s="36"/>
      <c r="D27" s="37">
        <v>0.10953491999999999</v>
      </c>
      <c r="E27" s="37"/>
      <c r="F27" s="37"/>
      <c r="G27" s="37"/>
      <c r="H27" s="37">
        <v>7.5000000000000002E-4</v>
      </c>
      <c r="I27" s="37"/>
      <c r="J27" s="37"/>
      <c r="K27" s="37"/>
      <c r="L27" s="37"/>
      <c r="M27" s="37">
        <v>0.12091536999999999</v>
      </c>
      <c r="N27" s="19"/>
      <c r="O27" s="19">
        <f t="shared" si="1"/>
        <v>0.23120028999999997</v>
      </c>
    </row>
    <row r="28" spans="2:15">
      <c r="B28" s="35" t="s">
        <v>90</v>
      </c>
      <c r="C28" s="36">
        <v>0.3098976</v>
      </c>
      <c r="D28" s="37">
        <v>6.4133812300000006</v>
      </c>
      <c r="E28" s="37">
        <v>0.55322500000000008</v>
      </c>
      <c r="F28" s="37">
        <v>3.7049609999999997E-2</v>
      </c>
      <c r="G28" s="37">
        <v>0.72569412</v>
      </c>
      <c r="H28" s="37">
        <v>0.14193866999999999</v>
      </c>
      <c r="I28" s="37">
        <v>1.00108643</v>
      </c>
      <c r="J28" s="37">
        <v>1.3716592599999999</v>
      </c>
      <c r="K28" s="37">
        <v>0.46599353000000004</v>
      </c>
      <c r="L28" s="37">
        <v>0.52247241</v>
      </c>
      <c r="M28" s="37">
        <v>2.7328211499999999</v>
      </c>
      <c r="N28" s="19">
        <v>2.29</v>
      </c>
      <c r="O28" s="19">
        <f t="shared" si="1"/>
        <v>16.565219010000003</v>
      </c>
    </row>
    <row r="29" spans="2:15" ht="24.95" customHeight="1">
      <c r="B29" s="38" t="s">
        <v>91</v>
      </c>
      <c r="C29" s="39">
        <f>+C7+C26</f>
        <v>272.32089358999997</v>
      </c>
      <c r="D29" s="40">
        <f t="shared" ref="D29:N29" si="6">+D7+D26</f>
        <v>242.11693703999998</v>
      </c>
      <c r="E29" s="40">
        <f t="shared" si="6"/>
        <v>252.77779035</v>
      </c>
      <c r="F29" s="40">
        <f t="shared" si="6"/>
        <v>454.31399325999996</v>
      </c>
      <c r="G29" s="40">
        <f t="shared" si="6"/>
        <v>245.16344553000005</v>
      </c>
      <c r="H29" s="40">
        <f t="shared" si="6"/>
        <v>257.54765692999996</v>
      </c>
      <c r="I29" s="40">
        <f t="shared" si="6"/>
        <v>261.33143032999993</v>
      </c>
      <c r="J29" s="40">
        <f t="shared" si="6"/>
        <v>243.81335799999997</v>
      </c>
      <c r="K29" s="40">
        <f t="shared" si="6"/>
        <v>245.02289087</v>
      </c>
      <c r="L29" s="40">
        <f t="shared" si="6"/>
        <v>261.4003171999999</v>
      </c>
      <c r="M29" s="40">
        <f t="shared" si="6"/>
        <v>262.79349000999997</v>
      </c>
      <c r="N29" s="41">
        <f t="shared" si="6"/>
        <v>269.37159302000003</v>
      </c>
      <c r="O29" s="41">
        <f>SUM(C29:N29)</f>
        <v>3267.9737961299998</v>
      </c>
    </row>
    <row r="30" spans="2:15" ht="8.25" customHeight="1">
      <c r="B30" s="42"/>
      <c r="C30" s="36"/>
      <c r="D30" s="37"/>
      <c r="E30" s="37"/>
      <c r="F30" s="37"/>
      <c r="G30" s="37"/>
      <c r="H30" s="37"/>
      <c r="I30" s="37"/>
      <c r="J30" s="37"/>
      <c r="K30" s="37"/>
      <c r="L30" s="37"/>
      <c r="M30" s="37"/>
      <c r="N30" s="19"/>
      <c r="O30" s="19"/>
    </row>
    <row r="31" spans="2:15" ht="24.95" customHeight="1">
      <c r="B31" s="25" t="s">
        <v>92</v>
      </c>
      <c r="C31" s="33">
        <f>SUM(C32:C33)</f>
        <v>5.5781339299999999</v>
      </c>
      <c r="D31" s="34">
        <f t="shared" ref="D31:N31" si="7">SUM(D32:D33)</f>
        <v>12.404496760000001</v>
      </c>
      <c r="E31" s="34">
        <f t="shared" si="7"/>
        <v>14.875780989999999</v>
      </c>
      <c r="F31" s="34">
        <f t="shared" si="7"/>
        <v>21.67937869</v>
      </c>
      <c r="G31" s="34">
        <f t="shared" si="7"/>
        <v>16.973326660000001</v>
      </c>
      <c r="H31" s="34">
        <f t="shared" si="7"/>
        <v>17.583461810000003</v>
      </c>
      <c r="I31" s="34">
        <f t="shared" si="7"/>
        <v>16.627281459999999</v>
      </c>
      <c r="J31" s="34">
        <f t="shared" si="7"/>
        <v>21.080495909999996</v>
      </c>
      <c r="K31" s="34">
        <f t="shared" si="7"/>
        <v>17.727242699999998</v>
      </c>
      <c r="L31" s="34">
        <f t="shared" si="7"/>
        <v>13.807164</v>
      </c>
      <c r="M31" s="34">
        <f t="shared" si="7"/>
        <v>11.399999999999999</v>
      </c>
      <c r="N31" s="22">
        <f t="shared" si="7"/>
        <v>19.100000000000001</v>
      </c>
      <c r="O31" s="22">
        <f>SUM(C31:N31)</f>
        <v>188.83676291</v>
      </c>
    </row>
    <row r="32" spans="2:15">
      <c r="B32" s="43" t="s">
        <v>93</v>
      </c>
      <c r="C32" s="36">
        <v>0</v>
      </c>
      <c r="D32" s="37">
        <v>0</v>
      </c>
      <c r="E32" s="37">
        <v>6.6723193299999997</v>
      </c>
      <c r="F32" s="37">
        <v>6.9648333100000004</v>
      </c>
      <c r="G32" s="37">
        <v>9.9296315400000008</v>
      </c>
      <c r="H32" s="37">
        <v>8.4922317500000002</v>
      </c>
      <c r="I32" s="37">
        <v>7.9080672099999996</v>
      </c>
      <c r="J32" s="37">
        <v>9.7548489699999994</v>
      </c>
      <c r="K32" s="37">
        <v>2.71125587</v>
      </c>
      <c r="L32" s="37">
        <v>1.2284250300000001</v>
      </c>
      <c r="M32" s="37">
        <v>1.2</v>
      </c>
      <c r="N32" s="19">
        <v>0.3</v>
      </c>
      <c r="O32" s="19">
        <f>SUM(C32:N32)</f>
        <v>55.161613009999996</v>
      </c>
    </row>
    <row r="33" spans="2:15">
      <c r="B33" s="44" t="s">
        <v>94</v>
      </c>
      <c r="C33" s="45">
        <v>5.5781339299999999</v>
      </c>
      <c r="D33" s="46">
        <v>12.404496760000001</v>
      </c>
      <c r="E33" s="46">
        <v>8.2034616600000003</v>
      </c>
      <c r="F33" s="46">
        <v>14.714545379999999</v>
      </c>
      <c r="G33" s="46">
        <v>7.0436951200000006</v>
      </c>
      <c r="H33" s="46">
        <v>9.0912300600000009</v>
      </c>
      <c r="I33" s="46">
        <v>8.7192142500000003</v>
      </c>
      <c r="J33" s="46">
        <v>11.325646939999999</v>
      </c>
      <c r="K33" s="46">
        <v>15.015986829999999</v>
      </c>
      <c r="L33" s="46">
        <v>12.57873897</v>
      </c>
      <c r="M33" s="46">
        <v>10.199999999999999</v>
      </c>
      <c r="N33" s="47">
        <v>18.8</v>
      </c>
      <c r="O33" s="47">
        <f>SUM(C33:N33)</f>
        <v>133.67514990000001</v>
      </c>
    </row>
    <row r="34" spans="2:15">
      <c r="B34" s="48" t="s">
        <v>95</v>
      </c>
      <c r="C34" s="2"/>
      <c r="D34" s="2"/>
      <c r="E34" s="2"/>
      <c r="F34" s="2"/>
      <c r="G34" s="2"/>
      <c r="H34" s="2"/>
      <c r="I34" s="2"/>
      <c r="J34" s="2"/>
      <c r="K34" s="2"/>
      <c r="L34" s="2"/>
      <c r="M34" s="2"/>
      <c r="N34" s="2"/>
      <c r="O34" s="2"/>
    </row>
    <row r="35" spans="2:15">
      <c r="B35" s="48" t="s">
        <v>96</v>
      </c>
      <c r="C35" s="2"/>
      <c r="D35" s="2"/>
      <c r="E35" s="2"/>
      <c r="F35" s="2"/>
      <c r="G35" s="2"/>
      <c r="H35" s="2"/>
      <c r="I35" s="2"/>
      <c r="J35" s="2"/>
      <c r="K35" s="2"/>
      <c r="L35" s="2"/>
      <c r="M35" s="2"/>
      <c r="N35" s="2"/>
      <c r="O35" s="2"/>
    </row>
    <row r="36" spans="2:15">
      <c r="B36" s="48" t="s">
        <v>97</v>
      </c>
      <c r="C36" s="2"/>
      <c r="D36" s="2"/>
      <c r="E36" s="2"/>
      <c r="F36" s="2"/>
      <c r="G36" s="2"/>
      <c r="H36" s="2"/>
      <c r="I36" s="2"/>
      <c r="J36" s="2"/>
      <c r="K36" s="2"/>
      <c r="L36" s="2"/>
      <c r="M36" s="2"/>
      <c r="N36" s="2"/>
      <c r="O36" s="2"/>
    </row>
  </sheetData>
  <printOptions horizontalCentered="1"/>
  <pageMargins left="0.7" right="0.7" top="0.75" bottom="0.75" header="0.3" footer="0.3"/>
  <pageSetup scale="7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O36"/>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s>
  <sheetData>
    <row r="2" spans="2:15">
      <c r="B2" t="s">
        <v>18</v>
      </c>
    </row>
    <row r="3" spans="2:15">
      <c r="B3" t="s">
        <v>98</v>
      </c>
    </row>
    <row r="4" spans="2:15">
      <c r="B4" t="s">
        <v>19</v>
      </c>
    </row>
    <row r="6" spans="2:15"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2011</v>
      </c>
    </row>
    <row r="7" spans="2:15" ht="24.95" customHeight="1">
      <c r="B7" s="25" t="s">
        <v>71</v>
      </c>
      <c r="C7" s="33">
        <f>C8+C19</f>
        <v>315.24385636000011</v>
      </c>
      <c r="D7" s="34">
        <f>+D8+D19</f>
        <v>263.27701047999994</v>
      </c>
      <c r="E7" s="34">
        <f t="shared" ref="E7:M7" si="0">+E8+E19</f>
        <v>297.84413632000002</v>
      </c>
      <c r="F7" s="34">
        <f t="shared" si="0"/>
        <v>512.69114253999999</v>
      </c>
      <c r="G7" s="34">
        <f t="shared" si="0"/>
        <v>292.21226138999992</v>
      </c>
      <c r="H7" s="34">
        <f t="shared" si="0"/>
        <v>278.45938999000003</v>
      </c>
      <c r="I7" s="34">
        <f t="shared" si="0"/>
        <v>278.07381657000002</v>
      </c>
      <c r="J7" s="34">
        <f t="shared" si="0"/>
        <v>273.62950088999997</v>
      </c>
      <c r="K7" s="34">
        <f t="shared" si="0"/>
        <v>260.43014762999996</v>
      </c>
      <c r="L7" s="34">
        <f t="shared" si="0"/>
        <v>272.39768706000001</v>
      </c>
      <c r="M7" s="34">
        <f t="shared" si="0"/>
        <v>283.71686145000001</v>
      </c>
      <c r="N7" s="22">
        <f>+N8+N19</f>
        <v>295.15834090999999</v>
      </c>
      <c r="O7" s="22">
        <f t="shared" ref="O7:O28" si="1">SUM(C7:N7)</f>
        <v>3623.1341515900003</v>
      </c>
    </row>
    <row r="8" spans="2:15" ht="24.95" customHeight="1">
      <c r="B8" s="15" t="s">
        <v>72</v>
      </c>
      <c r="C8" s="33">
        <f>SUM(C9:C14)</f>
        <v>302.68144440000009</v>
      </c>
      <c r="D8" s="34">
        <f t="shared" ref="D8:N8" si="2">SUM(D9:D14)</f>
        <v>249.84487080999997</v>
      </c>
      <c r="E8" s="34">
        <f t="shared" si="2"/>
        <v>279.61740699000001</v>
      </c>
      <c r="F8" s="34">
        <f t="shared" si="2"/>
        <v>505.20955543000002</v>
      </c>
      <c r="G8" s="34">
        <f t="shared" si="2"/>
        <v>275.31375720999995</v>
      </c>
      <c r="H8" s="34">
        <f t="shared" si="2"/>
        <v>267.09666666000004</v>
      </c>
      <c r="I8" s="34">
        <f t="shared" si="2"/>
        <v>269.39257742000001</v>
      </c>
      <c r="J8" s="34">
        <f t="shared" si="2"/>
        <v>265.33606101999999</v>
      </c>
      <c r="K8" s="34">
        <f t="shared" si="2"/>
        <v>250.46516524999998</v>
      </c>
      <c r="L8" s="34">
        <f t="shared" si="2"/>
        <v>264.26452318000003</v>
      </c>
      <c r="M8" s="34">
        <f t="shared" si="2"/>
        <v>272.69259038000001</v>
      </c>
      <c r="N8" s="22">
        <f t="shared" si="2"/>
        <v>284.70428238</v>
      </c>
      <c r="O8" s="22">
        <f t="shared" si="1"/>
        <v>3486.6189011300012</v>
      </c>
    </row>
    <row r="9" spans="2:15">
      <c r="B9" s="35" t="s">
        <v>73</v>
      </c>
      <c r="C9" s="49">
        <v>151.59934454000003</v>
      </c>
      <c r="D9" s="50">
        <v>138.68956777999998</v>
      </c>
      <c r="E9" s="50">
        <v>155.73809967</v>
      </c>
      <c r="F9" s="50">
        <v>154.33651108000001</v>
      </c>
      <c r="G9" s="50">
        <v>164.23321899000001</v>
      </c>
      <c r="H9" s="50">
        <v>151.48453795999998</v>
      </c>
      <c r="I9" s="50">
        <v>148.48225854</v>
      </c>
      <c r="J9" s="50">
        <v>146.78311466999997</v>
      </c>
      <c r="K9" s="50">
        <v>138.68516392999999</v>
      </c>
      <c r="L9" s="50">
        <v>144.24827390000002</v>
      </c>
      <c r="M9" s="50">
        <v>151.57621985</v>
      </c>
      <c r="N9" s="51">
        <v>155.64014795999998</v>
      </c>
      <c r="O9" s="19">
        <f t="shared" si="1"/>
        <v>1801.49645887</v>
      </c>
    </row>
    <row r="10" spans="2:15">
      <c r="B10" s="35" t="s">
        <v>24</v>
      </c>
      <c r="C10" s="49">
        <v>110.46253431000002</v>
      </c>
      <c r="D10" s="50">
        <v>73.181494220000005</v>
      </c>
      <c r="E10" s="50">
        <v>82.90591271000001</v>
      </c>
      <c r="F10" s="50">
        <v>310.32884195999998</v>
      </c>
      <c r="G10" s="50">
        <v>69.81285102999999</v>
      </c>
      <c r="H10" s="50">
        <v>76.137645610000007</v>
      </c>
      <c r="I10" s="50">
        <v>80.924821409999993</v>
      </c>
      <c r="J10" s="50">
        <v>78.492683230000011</v>
      </c>
      <c r="K10" s="50">
        <v>71.374834899999996</v>
      </c>
      <c r="L10" s="50">
        <v>79.539670659999999</v>
      </c>
      <c r="M10" s="50">
        <v>75.434681670000003</v>
      </c>
      <c r="N10" s="51">
        <v>84.211404140000013</v>
      </c>
      <c r="O10" s="19">
        <f t="shared" si="1"/>
        <v>1192.80737585</v>
      </c>
    </row>
    <row r="11" spans="2:15">
      <c r="B11" s="35" t="s">
        <v>27</v>
      </c>
      <c r="C11" s="49">
        <v>11.008391009999999</v>
      </c>
      <c r="D11" s="50">
        <v>13.1085172</v>
      </c>
      <c r="E11" s="50">
        <v>13.02987888</v>
      </c>
      <c r="F11" s="50">
        <v>12.376492309999998</v>
      </c>
      <c r="G11" s="50">
        <v>13.51208128</v>
      </c>
      <c r="H11" s="50">
        <v>13.691627759999999</v>
      </c>
      <c r="I11" s="50">
        <v>13.531155299999998</v>
      </c>
      <c r="J11" s="50">
        <v>13.95322228</v>
      </c>
      <c r="K11" s="50">
        <v>14.62475452</v>
      </c>
      <c r="L11" s="50">
        <v>15.564029440000002</v>
      </c>
      <c r="M11" s="50">
        <v>16.949038690000002</v>
      </c>
      <c r="N11" s="51">
        <v>15.996946169999999</v>
      </c>
      <c r="O11" s="19">
        <f t="shared" si="1"/>
        <v>167.34613484000002</v>
      </c>
    </row>
    <row r="12" spans="2:15">
      <c r="B12" s="35" t="s">
        <v>74</v>
      </c>
      <c r="C12" s="49">
        <v>13.347487770000001</v>
      </c>
      <c r="D12" s="50">
        <v>9.7420655299999996</v>
      </c>
      <c r="E12" s="50">
        <v>10.739506840000001</v>
      </c>
      <c r="F12" s="50">
        <v>11.899135909999998</v>
      </c>
      <c r="G12" s="50">
        <v>12.55757899</v>
      </c>
      <c r="H12" s="50">
        <v>10.505140540000001</v>
      </c>
      <c r="I12" s="50">
        <v>11.114653619999999</v>
      </c>
      <c r="J12" s="50">
        <v>11.024330090000001</v>
      </c>
      <c r="K12" s="50">
        <v>10.895325380000001</v>
      </c>
      <c r="L12" s="50">
        <v>11.080031859999998</v>
      </c>
      <c r="M12" s="50">
        <v>12.362019289999999</v>
      </c>
      <c r="N12" s="51">
        <v>15.1345274</v>
      </c>
      <c r="O12" s="19">
        <f t="shared" si="1"/>
        <v>140.40180322000001</v>
      </c>
    </row>
    <row r="13" spans="2:15">
      <c r="B13" s="35" t="s">
        <v>75</v>
      </c>
      <c r="C13" s="49">
        <v>6.1052049799999999</v>
      </c>
      <c r="D13" s="50">
        <v>5.5566725200000002</v>
      </c>
      <c r="E13" s="50">
        <v>8.0188331799999997</v>
      </c>
      <c r="F13" s="50">
        <v>6.0416253400000004</v>
      </c>
      <c r="G13" s="50">
        <v>6.0908128000000001</v>
      </c>
      <c r="H13" s="50">
        <v>6.1935306300000006</v>
      </c>
      <c r="I13" s="50">
        <v>5.9952885500000006</v>
      </c>
      <c r="J13" s="50">
        <v>5.7500487200000006</v>
      </c>
      <c r="K13" s="50">
        <v>5.4866421899999995</v>
      </c>
      <c r="L13" s="50">
        <v>5.2214725499999997</v>
      </c>
      <c r="M13" s="50">
        <v>5.7726104500000002</v>
      </c>
      <c r="N13" s="51">
        <v>6.1167211300000002</v>
      </c>
      <c r="O13" s="19">
        <f t="shared" si="1"/>
        <v>72.349463039999989</v>
      </c>
    </row>
    <row r="14" spans="2:15">
      <c r="B14" s="35" t="s">
        <v>76</v>
      </c>
      <c r="C14" s="49">
        <f>SUM(C15:C18)</f>
        <v>10.15848179</v>
      </c>
      <c r="D14" s="50">
        <f t="shared" ref="D14:N14" si="3">SUM(D15:D18)</f>
        <v>9.5665535600000009</v>
      </c>
      <c r="E14" s="50">
        <f t="shared" si="3"/>
        <v>9.1851757099999993</v>
      </c>
      <c r="F14" s="50">
        <f t="shared" si="3"/>
        <v>10.226948830000001</v>
      </c>
      <c r="G14" s="50">
        <f t="shared" si="3"/>
        <v>9.1072141199999983</v>
      </c>
      <c r="H14" s="50">
        <f t="shared" si="3"/>
        <v>9.0841841599999995</v>
      </c>
      <c r="I14" s="50">
        <f t="shared" si="3"/>
        <v>9.3443999999999985</v>
      </c>
      <c r="J14" s="50">
        <f t="shared" si="3"/>
        <v>9.3326620299999998</v>
      </c>
      <c r="K14" s="50">
        <f t="shared" si="3"/>
        <v>9.3984443300000002</v>
      </c>
      <c r="L14" s="50">
        <f t="shared" si="3"/>
        <v>8.6110447699999995</v>
      </c>
      <c r="M14" s="50">
        <f t="shared" si="3"/>
        <v>10.598020430000002</v>
      </c>
      <c r="N14" s="51">
        <f t="shared" si="3"/>
        <v>7.6045355799999985</v>
      </c>
      <c r="O14" s="19">
        <f t="shared" si="1"/>
        <v>112.21766531000002</v>
      </c>
    </row>
    <row r="15" spans="2:15">
      <c r="B15" s="17" t="s">
        <v>77</v>
      </c>
      <c r="C15" s="49">
        <v>6.4493689199999995</v>
      </c>
      <c r="D15" s="50">
        <v>5.9529110000000003</v>
      </c>
      <c r="E15" s="50">
        <v>5.6782161999999996</v>
      </c>
      <c r="F15" s="50">
        <v>6.1555144000000004</v>
      </c>
      <c r="G15" s="50">
        <v>5.6084936000000001</v>
      </c>
      <c r="H15" s="50">
        <v>5.5535338000000003</v>
      </c>
      <c r="I15" s="50">
        <v>5.6065999999999994</v>
      </c>
      <c r="J15" s="50">
        <v>5.7414146200000005</v>
      </c>
      <c r="K15" s="50">
        <v>5.8293400000000002</v>
      </c>
      <c r="L15" s="50">
        <v>5.1575217999999996</v>
      </c>
      <c r="M15" s="50">
        <v>6.5936204000000007</v>
      </c>
      <c r="N15" s="51">
        <v>4.6159045999999995</v>
      </c>
      <c r="O15" s="19">
        <f t="shared" si="1"/>
        <v>68.942439339999993</v>
      </c>
    </row>
    <row r="16" spans="2:15">
      <c r="B16" s="17" t="s">
        <v>78</v>
      </c>
      <c r="C16" s="49">
        <v>0</v>
      </c>
      <c r="D16" s="50">
        <v>0</v>
      </c>
      <c r="E16" s="50">
        <v>0</v>
      </c>
      <c r="F16" s="50">
        <v>0.24597207999999998</v>
      </c>
      <c r="G16" s="50">
        <v>2.9102940000000001E-2</v>
      </c>
      <c r="H16" s="50">
        <v>0</v>
      </c>
      <c r="I16" s="50">
        <v>0.13700000000000001</v>
      </c>
      <c r="J16" s="50">
        <v>0</v>
      </c>
      <c r="K16" s="50">
        <v>0</v>
      </c>
      <c r="L16" s="50">
        <v>0.13696198999999998</v>
      </c>
      <c r="M16" s="50">
        <v>0</v>
      </c>
      <c r="N16" s="51">
        <v>0</v>
      </c>
      <c r="O16" s="19">
        <f t="shared" si="1"/>
        <v>0.54903700999999994</v>
      </c>
    </row>
    <row r="17" spans="2:15">
      <c r="B17" s="17" t="s">
        <v>79</v>
      </c>
      <c r="C17" s="49">
        <v>0.48112841000000001</v>
      </c>
      <c r="D17" s="50">
        <v>0.63498706000000005</v>
      </c>
      <c r="E17" s="50">
        <v>0.66485141000000003</v>
      </c>
      <c r="F17" s="50">
        <v>0.74410514999999988</v>
      </c>
      <c r="G17" s="50">
        <v>0.64842077999999992</v>
      </c>
      <c r="H17" s="50">
        <v>0.74868345999999997</v>
      </c>
      <c r="I17" s="50">
        <v>0.78160000000000007</v>
      </c>
      <c r="J17" s="50">
        <v>0.71698609999999996</v>
      </c>
      <c r="K17" s="50">
        <v>0.64858432999999993</v>
      </c>
      <c r="L17" s="50">
        <v>0.73070008000000009</v>
      </c>
      <c r="M17" s="50">
        <v>0.70448982999999998</v>
      </c>
      <c r="N17" s="51">
        <v>0.67562867999999987</v>
      </c>
      <c r="O17" s="19">
        <f t="shared" si="1"/>
        <v>8.1801652899999997</v>
      </c>
    </row>
    <row r="18" spans="2:15">
      <c r="B18" s="17" t="s">
        <v>80</v>
      </c>
      <c r="C18" s="49">
        <v>3.2279844600000001</v>
      </c>
      <c r="D18" s="50">
        <v>2.9786554999999999</v>
      </c>
      <c r="E18" s="50">
        <v>2.8421080999999999</v>
      </c>
      <c r="F18" s="50">
        <v>3.0813572000000002</v>
      </c>
      <c r="G18" s="50">
        <v>2.8211967999999996</v>
      </c>
      <c r="H18" s="50">
        <v>2.7819669</v>
      </c>
      <c r="I18" s="50">
        <v>2.8191999999999999</v>
      </c>
      <c r="J18" s="50">
        <v>2.8742613100000001</v>
      </c>
      <c r="K18" s="50">
        <v>2.9205199999999998</v>
      </c>
      <c r="L18" s="50">
        <v>2.5858609000000001</v>
      </c>
      <c r="M18" s="50">
        <v>3.2999102000000002</v>
      </c>
      <c r="N18" s="51">
        <v>2.3130022999999995</v>
      </c>
      <c r="O18" s="19">
        <f t="shared" si="1"/>
        <v>34.546023670000004</v>
      </c>
    </row>
    <row r="19" spans="2:15" ht="24.95" customHeight="1">
      <c r="B19" s="15" t="s">
        <v>81</v>
      </c>
      <c r="C19" s="33">
        <f>SUM(C20:C25)</f>
        <v>12.56241196</v>
      </c>
      <c r="D19" s="34">
        <f t="shared" ref="D19:N19" si="4">SUM(D20:D25)</f>
        <v>13.432139669999998</v>
      </c>
      <c r="E19" s="34">
        <f t="shared" si="4"/>
        <v>18.226729329999998</v>
      </c>
      <c r="F19" s="34">
        <f t="shared" si="4"/>
        <v>7.4815871100000004</v>
      </c>
      <c r="G19" s="34">
        <f t="shared" si="4"/>
        <v>16.89850418</v>
      </c>
      <c r="H19" s="34">
        <f t="shared" si="4"/>
        <v>11.362723329999998</v>
      </c>
      <c r="I19" s="34">
        <f t="shared" si="4"/>
        <v>8.6812391499999997</v>
      </c>
      <c r="J19" s="34">
        <f t="shared" si="4"/>
        <v>8.2934398700000003</v>
      </c>
      <c r="K19" s="34">
        <f t="shared" si="4"/>
        <v>9.9649823800000004</v>
      </c>
      <c r="L19" s="34">
        <f t="shared" si="4"/>
        <v>8.1331638799999997</v>
      </c>
      <c r="M19" s="34">
        <f t="shared" si="4"/>
        <v>11.024271069999999</v>
      </c>
      <c r="N19" s="22">
        <f t="shared" si="4"/>
        <v>10.454058529999999</v>
      </c>
      <c r="O19" s="22">
        <f t="shared" si="1"/>
        <v>136.51525045999998</v>
      </c>
    </row>
    <row r="20" spans="2:15">
      <c r="B20" s="35" t="s">
        <v>82</v>
      </c>
      <c r="C20" s="49">
        <v>0.31891028999999999</v>
      </c>
      <c r="D20" s="50">
        <v>0.15891218000000001</v>
      </c>
      <c r="E20" s="50">
        <v>0.22220665000000003</v>
      </c>
      <c r="F20" s="50">
        <v>0.21084095000000003</v>
      </c>
      <c r="G20" s="50">
        <v>0.52796784000000008</v>
      </c>
      <c r="H20" s="50">
        <v>0.47263396000000008</v>
      </c>
      <c r="I20" s="50">
        <v>0.38514485999999998</v>
      </c>
      <c r="J20" s="50">
        <v>0.17921365</v>
      </c>
      <c r="K20" s="50">
        <v>0.14665332</v>
      </c>
      <c r="L20" s="50">
        <v>0.26193329999999998</v>
      </c>
      <c r="M20" s="50">
        <v>0.14748003999999998</v>
      </c>
      <c r="N20" s="51">
        <v>0.38371455999999998</v>
      </c>
      <c r="O20" s="19">
        <f t="shared" si="1"/>
        <v>3.4156116000000001</v>
      </c>
    </row>
    <row r="21" spans="2:15">
      <c r="B21" s="35" t="s">
        <v>83</v>
      </c>
      <c r="C21" s="49">
        <v>0</v>
      </c>
      <c r="D21" s="50">
        <v>0</v>
      </c>
      <c r="E21" s="50">
        <v>0</v>
      </c>
      <c r="F21" s="50">
        <v>0</v>
      </c>
      <c r="G21" s="50">
        <v>3.2864394799999999</v>
      </c>
      <c r="H21" s="50">
        <v>0</v>
      </c>
      <c r="I21" s="50">
        <v>0</v>
      </c>
      <c r="J21" s="50">
        <v>0</v>
      </c>
      <c r="K21" s="50">
        <v>0</v>
      </c>
      <c r="L21" s="50">
        <v>0</v>
      </c>
      <c r="M21" s="50">
        <v>0</v>
      </c>
      <c r="N21" s="51">
        <v>0</v>
      </c>
      <c r="O21" s="19">
        <f t="shared" si="1"/>
        <v>3.2864394799999999</v>
      </c>
    </row>
    <row r="22" spans="2:15">
      <c r="B22" s="35" t="s">
        <v>84</v>
      </c>
      <c r="C22" s="49">
        <v>1.7719341500000001</v>
      </c>
      <c r="D22" s="50">
        <v>1.4528388299999999</v>
      </c>
      <c r="E22" s="50">
        <v>1.5160236700000003</v>
      </c>
      <c r="F22" s="50">
        <v>0.86148178000000009</v>
      </c>
      <c r="G22" s="50">
        <v>0.94072325000000001</v>
      </c>
      <c r="H22" s="50">
        <v>0.81131266000000002</v>
      </c>
      <c r="I22" s="50">
        <v>0.60096883999999995</v>
      </c>
      <c r="J22" s="50">
        <v>0.62536440999999987</v>
      </c>
      <c r="K22" s="50">
        <v>0.62643541999999985</v>
      </c>
      <c r="L22" s="50">
        <v>0.59150132000000011</v>
      </c>
      <c r="M22" s="50">
        <v>0.67349227</v>
      </c>
      <c r="N22" s="51">
        <v>0.57083682999999996</v>
      </c>
      <c r="O22" s="19">
        <f t="shared" si="1"/>
        <v>11.04291343</v>
      </c>
    </row>
    <row r="23" spans="2:15">
      <c r="B23" s="35" t="s">
        <v>85</v>
      </c>
      <c r="C23" s="49">
        <v>2.6526109599999996</v>
      </c>
      <c r="D23" s="50">
        <v>2.24321094</v>
      </c>
      <c r="E23" s="50">
        <v>2.8430900099999996</v>
      </c>
      <c r="F23" s="50">
        <v>2.4769479200000006</v>
      </c>
      <c r="G23" s="50">
        <v>2.6210586499999997</v>
      </c>
      <c r="H23" s="50">
        <v>4.4267171699999999</v>
      </c>
      <c r="I23" s="50">
        <v>4.2505283</v>
      </c>
      <c r="J23" s="50">
        <v>4.0079746500000004</v>
      </c>
      <c r="K23" s="50">
        <v>4.3957883000000004</v>
      </c>
      <c r="L23" s="50">
        <v>4.3399518799999992</v>
      </c>
      <c r="M23" s="50">
        <v>4.2863629899999998</v>
      </c>
      <c r="N23" s="51">
        <v>4.5236961899999999</v>
      </c>
      <c r="O23" s="19">
        <f t="shared" si="1"/>
        <v>43.067937960000002</v>
      </c>
    </row>
    <row r="24" spans="2:15">
      <c r="B24" s="35" t="s">
        <v>86</v>
      </c>
      <c r="C24" s="49">
        <v>2.0836599799999997</v>
      </c>
      <c r="D24" s="50">
        <v>2.0794039</v>
      </c>
      <c r="E24" s="50">
        <v>2.6797596000000001</v>
      </c>
      <c r="F24" s="50">
        <v>2.1583946100000002</v>
      </c>
      <c r="G24" s="50">
        <v>2.8041688600000003</v>
      </c>
      <c r="H24" s="50">
        <v>2.798082</v>
      </c>
      <c r="I24" s="50">
        <v>2.0755428999999999</v>
      </c>
      <c r="J24" s="50">
        <v>2.2752918100000001</v>
      </c>
      <c r="K24" s="50">
        <v>2.8799735700000002</v>
      </c>
      <c r="L24" s="50">
        <v>2.4492124</v>
      </c>
      <c r="M24" s="50">
        <v>2.7981539600000001</v>
      </c>
      <c r="N24" s="51">
        <v>3.1666826599999998</v>
      </c>
      <c r="O24" s="19">
        <f t="shared" si="1"/>
        <v>30.248326249999998</v>
      </c>
    </row>
    <row r="25" spans="2:15">
      <c r="B25" s="35" t="s">
        <v>87</v>
      </c>
      <c r="C25" s="49">
        <v>5.73529658</v>
      </c>
      <c r="D25" s="50">
        <v>7.497773819999999</v>
      </c>
      <c r="E25" s="50">
        <v>10.9656494</v>
      </c>
      <c r="F25" s="50">
        <v>1.77392185</v>
      </c>
      <c r="G25" s="50">
        <v>6.7181460999999993</v>
      </c>
      <c r="H25" s="50">
        <v>2.8539775399999998</v>
      </c>
      <c r="I25" s="50">
        <v>1.3690542499999998</v>
      </c>
      <c r="J25" s="50">
        <v>1.2055953499999998</v>
      </c>
      <c r="K25" s="50">
        <v>1.91613177</v>
      </c>
      <c r="L25" s="50">
        <v>0.49056498000000004</v>
      </c>
      <c r="M25" s="50">
        <v>3.1187818099999993</v>
      </c>
      <c r="N25" s="51">
        <v>1.8091282900000001</v>
      </c>
      <c r="O25" s="19">
        <f t="shared" si="1"/>
        <v>45.454021740000002</v>
      </c>
    </row>
    <row r="26" spans="2:15" ht="24.95" customHeight="1">
      <c r="B26" s="25" t="s">
        <v>88</v>
      </c>
      <c r="C26" s="33">
        <f>SUM(C27:C28)</f>
        <v>0</v>
      </c>
      <c r="D26" s="34">
        <f t="shared" ref="D26:N26" si="5">SUM(D27:D28)</f>
        <v>0.52913001000000004</v>
      </c>
      <c r="E26" s="34">
        <f t="shared" si="5"/>
        <v>0.64343967999999996</v>
      </c>
      <c r="F26" s="34">
        <f t="shared" si="5"/>
        <v>1.3317553100000001</v>
      </c>
      <c r="G26" s="34">
        <f t="shared" si="5"/>
        <v>0.74017655000000004</v>
      </c>
      <c r="H26" s="34">
        <f t="shared" si="5"/>
        <v>0.9122268</v>
      </c>
      <c r="I26" s="34">
        <f t="shared" si="5"/>
        <v>0.73967702999999996</v>
      </c>
      <c r="J26" s="34">
        <f t="shared" si="5"/>
        <v>3.3573</v>
      </c>
      <c r="K26" s="34">
        <f t="shared" si="5"/>
        <v>1.5794999999999999</v>
      </c>
      <c r="L26" s="34">
        <f t="shared" si="5"/>
        <v>1.4285999999999999</v>
      </c>
      <c r="M26" s="34">
        <f t="shared" si="5"/>
        <v>0.22009362999999998</v>
      </c>
      <c r="N26" s="22">
        <f t="shared" si="5"/>
        <v>31.671383160000001</v>
      </c>
      <c r="O26" s="22">
        <f t="shared" si="1"/>
        <v>43.153282169999997</v>
      </c>
    </row>
    <row r="27" spans="2:15">
      <c r="B27" s="35" t="s">
        <v>89</v>
      </c>
      <c r="C27" s="49"/>
      <c r="D27" s="50"/>
      <c r="E27" s="50"/>
      <c r="F27" s="50">
        <v>0.10978531</v>
      </c>
      <c r="G27" s="50">
        <v>2.5596549999999999E-2</v>
      </c>
      <c r="H27" s="50"/>
      <c r="I27" s="50"/>
      <c r="J27" s="50"/>
      <c r="K27" s="50"/>
      <c r="L27" s="50"/>
      <c r="M27" s="50">
        <v>4.1936300000000003E-3</v>
      </c>
      <c r="N27" s="51">
        <v>2.3416380000000001E-2</v>
      </c>
      <c r="O27" s="19">
        <f t="shared" si="1"/>
        <v>0.16299186999999998</v>
      </c>
    </row>
    <row r="28" spans="2:15">
      <c r="B28" s="35" t="s">
        <v>90</v>
      </c>
      <c r="C28" s="49">
        <v>0</v>
      </c>
      <c r="D28" s="50">
        <v>0.52913001000000004</v>
      </c>
      <c r="E28" s="50">
        <v>0.64343967999999996</v>
      </c>
      <c r="F28" s="50">
        <v>1.2219700000000002</v>
      </c>
      <c r="G28" s="50">
        <v>0.71457999999999999</v>
      </c>
      <c r="H28" s="50">
        <v>0.9122268</v>
      </c>
      <c r="I28" s="50">
        <v>0.73967702999999996</v>
      </c>
      <c r="J28" s="50">
        <v>3.3573</v>
      </c>
      <c r="K28" s="50">
        <v>1.5794999999999999</v>
      </c>
      <c r="L28" s="50">
        <v>1.4285999999999999</v>
      </c>
      <c r="M28" s="50">
        <v>0.21589999999999998</v>
      </c>
      <c r="N28" s="51">
        <v>31.647966780000001</v>
      </c>
      <c r="O28" s="19">
        <f t="shared" si="1"/>
        <v>42.990290299999998</v>
      </c>
    </row>
    <row r="29" spans="2:15" ht="24.95" customHeight="1">
      <c r="B29" s="38" t="s">
        <v>91</v>
      </c>
      <c r="C29" s="39">
        <f>+C7+C26</f>
        <v>315.24385636000011</v>
      </c>
      <c r="D29" s="40">
        <f t="shared" ref="D29:N29" si="6">+D7+D26</f>
        <v>263.80614048999996</v>
      </c>
      <c r="E29" s="40">
        <f t="shared" si="6"/>
        <v>298.48757599999999</v>
      </c>
      <c r="F29" s="40">
        <f t="shared" si="6"/>
        <v>514.02289784999994</v>
      </c>
      <c r="G29" s="40">
        <f t="shared" si="6"/>
        <v>292.95243793999992</v>
      </c>
      <c r="H29" s="40">
        <f t="shared" si="6"/>
        <v>279.37161679000002</v>
      </c>
      <c r="I29" s="40">
        <f t="shared" si="6"/>
        <v>278.81349360000002</v>
      </c>
      <c r="J29" s="40">
        <f t="shared" si="6"/>
        <v>276.98680088999998</v>
      </c>
      <c r="K29" s="40">
        <f t="shared" si="6"/>
        <v>262.00964762999996</v>
      </c>
      <c r="L29" s="40">
        <f t="shared" si="6"/>
        <v>273.82628706000003</v>
      </c>
      <c r="M29" s="40">
        <f t="shared" si="6"/>
        <v>283.93695508000002</v>
      </c>
      <c r="N29" s="41">
        <f t="shared" si="6"/>
        <v>326.82972407</v>
      </c>
      <c r="O29" s="41">
        <f>SUM(C29:N29)</f>
        <v>3666.2874337600001</v>
      </c>
    </row>
    <row r="30" spans="2:15" ht="8.25" customHeight="1">
      <c r="B30" s="42"/>
      <c r="C30" s="36"/>
      <c r="D30" s="37"/>
      <c r="E30" s="37"/>
      <c r="F30" s="37"/>
      <c r="G30" s="37"/>
      <c r="H30" s="37"/>
      <c r="I30" s="37"/>
      <c r="J30" s="37"/>
      <c r="K30" s="37"/>
      <c r="L30" s="37"/>
      <c r="M30" s="37"/>
      <c r="N30" s="19"/>
      <c r="O30" s="19"/>
    </row>
    <row r="31" spans="2:15" ht="24.95" customHeight="1">
      <c r="B31" s="25" t="s">
        <v>92</v>
      </c>
      <c r="C31" s="33">
        <f>SUM(C32:C33)</f>
        <v>18.790852319999999</v>
      </c>
      <c r="D31" s="34">
        <f t="shared" ref="D31:N31" si="7">SUM(D32:D33)</f>
        <v>16.805415629999999</v>
      </c>
      <c r="E31" s="34">
        <f t="shared" si="7"/>
        <v>27.759342099999998</v>
      </c>
      <c r="F31" s="34">
        <f t="shared" si="7"/>
        <v>36.432030009999998</v>
      </c>
      <c r="G31" s="34">
        <f t="shared" si="7"/>
        <v>36.079942790000004</v>
      </c>
      <c r="H31" s="34">
        <f t="shared" si="7"/>
        <v>29.385376170000001</v>
      </c>
      <c r="I31" s="34">
        <f t="shared" si="7"/>
        <v>28.747631139999999</v>
      </c>
      <c r="J31" s="34">
        <f t="shared" si="7"/>
        <v>23.055468350000002</v>
      </c>
      <c r="K31" s="34">
        <f t="shared" si="7"/>
        <v>14.250767440000001</v>
      </c>
      <c r="L31" s="34">
        <f t="shared" si="7"/>
        <v>20.11310237</v>
      </c>
      <c r="M31" s="34">
        <f t="shared" si="7"/>
        <v>22.129402460000001</v>
      </c>
      <c r="N31" s="22">
        <f t="shared" si="7"/>
        <v>19.803304779999998</v>
      </c>
      <c r="O31" s="22">
        <f>SUM(C31:N31)</f>
        <v>293.35263556000007</v>
      </c>
    </row>
    <row r="32" spans="2:15">
      <c r="B32" s="43" t="s">
        <v>93</v>
      </c>
      <c r="C32" s="49"/>
      <c r="D32" s="50">
        <v>1.5985642</v>
      </c>
      <c r="E32" s="50">
        <v>4.9162290899999999</v>
      </c>
      <c r="F32" s="50">
        <v>5.4619897699999997</v>
      </c>
      <c r="G32" s="50">
        <v>16.485722169999999</v>
      </c>
      <c r="H32" s="50">
        <v>11.212611730000001</v>
      </c>
      <c r="I32" s="50">
        <v>9.6906003900000002</v>
      </c>
      <c r="J32" s="50">
        <v>7.363183460000001</v>
      </c>
      <c r="K32" s="50">
        <v>1.6822862999999999</v>
      </c>
      <c r="L32" s="50">
        <v>3.2379690000000001</v>
      </c>
      <c r="M32" s="50">
        <v>2.3575561299999999</v>
      </c>
      <c r="N32" s="51">
        <v>1.97423697</v>
      </c>
      <c r="O32" s="19">
        <f>SUM(C32:N32)</f>
        <v>65.980949210000006</v>
      </c>
    </row>
    <row r="33" spans="2:15">
      <c r="B33" s="44" t="s">
        <v>94</v>
      </c>
      <c r="C33" s="52">
        <v>18.790852319999999</v>
      </c>
      <c r="D33" s="53">
        <v>15.206851429999999</v>
      </c>
      <c r="E33" s="53">
        <v>22.84311301</v>
      </c>
      <c r="F33" s="53">
        <v>30.970040239999999</v>
      </c>
      <c r="G33" s="53">
        <v>19.594220620000002</v>
      </c>
      <c r="H33" s="53">
        <v>18.172764439999998</v>
      </c>
      <c r="I33" s="53">
        <v>19.057030749999999</v>
      </c>
      <c r="J33" s="53">
        <v>15.69228489</v>
      </c>
      <c r="K33" s="53">
        <v>12.568481140000001</v>
      </c>
      <c r="L33" s="53">
        <v>16.87513337</v>
      </c>
      <c r="M33" s="53">
        <v>19.771846330000002</v>
      </c>
      <c r="N33" s="54">
        <v>17.829067809999998</v>
      </c>
      <c r="O33" s="47">
        <f>SUM(C33:N33)</f>
        <v>227.37168634999998</v>
      </c>
    </row>
    <row r="34" spans="2:15">
      <c r="B34" s="48" t="s">
        <v>95</v>
      </c>
      <c r="C34" s="2"/>
      <c r="D34" s="2"/>
      <c r="E34" s="2"/>
      <c r="F34" s="2"/>
      <c r="G34" s="2"/>
      <c r="H34" s="2"/>
      <c r="I34" s="2"/>
      <c r="J34" s="2"/>
      <c r="K34" s="2"/>
      <c r="L34" s="2"/>
      <c r="M34" s="2"/>
      <c r="N34" s="2"/>
      <c r="O34" s="2"/>
    </row>
    <row r="35" spans="2:15">
      <c r="B35" s="48" t="s">
        <v>96</v>
      </c>
      <c r="C35" s="2"/>
      <c r="D35" s="2"/>
      <c r="E35" s="2"/>
      <c r="F35" s="2"/>
      <c r="G35" s="2"/>
      <c r="H35" s="2"/>
      <c r="I35" s="2"/>
      <c r="J35" s="2"/>
      <c r="K35" s="2"/>
      <c r="L35" s="2"/>
      <c r="M35" s="2"/>
      <c r="N35" s="2"/>
      <c r="O35" s="2"/>
    </row>
    <row r="36" spans="2:15">
      <c r="B36" s="48" t="s">
        <v>97</v>
      </c>
      <c r="C36" s="2"/>
      <c r="D36" s="2"/>
      <c r="E36" s="2"/>
      <c r="F36" s="2"/>
      <c r="G36" s="2"/>
      <c r="H36" s="2"/>
      <c r="I36" s="2"/>
      <c r="J36" s="2"/>
      <c r="K36" s="2"/>
      <c r="L36" s="2"/>
      <c r="M36" s="2"/>
      <c r="N36" s="2"/>
      <c r="O36" s="2"/>
    </row>
  </sheetData>
  <printOptions horizontalCentered="1"/>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3:B5"/>
  <sheetViews>
    <sheetView workbookViewId="0">
      <selection activeCell="B14" sqref="B14"/>
    </sheetView>
  </sheetViews>
  <sheetFormatPr baseColWidth="10" defaultRowHeight="15"/>
  <cols>
    <col min="2" max="2" width="65.7109375" customWidth="1"/>
  </cols>
  <sheetData>
    <row r="3" spans="2:2" ht="33.75">
      <c r="B3" s="1" t="s">
        <v>0</v>
      </c>
    </row>
    <row r="4" spans="2:2" ht="33.75">
      <c r="B4" s="1" t="s">
        <v>1</v>
      </c>
    </row>
    <row r="5" spans="2:2" ht="33.75">
      <c r="B5" s="1" t="s">
        <v>2</v>
      </c>
    </row>
  </sheetData>
  <printOptions horizontalCentered="1"/>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O36"/>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s>
  <sheetData>
    <row r="2" spans="2:15">
      <c r="B2" t="s">
        <v>18</v>
      </c>
    </row>
    <row r="3" spans="2:15">
      <c r="B3" t="s">
        <v>99</v>
      </c>
    </row>
    <row r="4" spans="2:15">
      <c r="B4" t="s">
        <v>19</v>
      </c>
    </row>
    <row r="6" spans="2:15"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2012</v>
      </c>
    </row>
    <row r="7" spans="2:15" ht="24.95" customHeight="1">
      <c r="B7" s="25" t="s">
        <v>71</v>
      </c>
      <c r="C7" s="33">
        <f>C8+C19</f>
        <v>348.62393486999997</v>
      </c>
      <c r="D7" s="34">
        <f>+D8+D19</f>
        <v>284.98571680999999</v>
      </c>
      <c r="E7" s="34">
        <f t="shared" ref="E7:M7" si="0">+E8+E19</f>
        <v>304.87500131999997</v>
      </c>
      <c r="F7" s="34">
        <f t="shared" si="0"/>
        <v>576.45835011999986</v>
      </c>
      <c r="G7" s="34">
        <f t="shared" si="0"/>
        <v>295.52600652000001</v>
      </c>
      <c r="H7" s="34">
        <f t="shared" si="0"/>
        <v>275.80362403999999</v>
      </c>
      <c r="I7" s="34">
        <f t="shared" si="0"/>
        <v>304.57938110000003</v>
      </c>
      <c r="J7" s="34">
        <f t="shared" si="0"/>
        <v>284.76892886000002</v>
      </c>
      <c r="K7" s="34">
        <f t="shared" si="0"/>
        <v>272.37671148000004</v>
      </c>
      <c r="L7" s="34">
        <f t="shared" si="0"/>
        <v>294.00884491000005</v>
      </c>
      <c r="M7" s="34">
        <f t="shared" si="0"/>
        <v>289.03305657999994</v>
      </c>
      <c r="N7" s="22">
        <f>+N8+N19</f>
        <v>296.3940393900001</v>
      </c>
      <c r="O7" s="22">
        <f t="shared" ref="O7:O28" si="1">SUM(C7:N7)</f>
        <v>3827.4335959999999</v>
      </c>
    </row>
    <row r="8" spans="2:15" ht="24.95" customHeight="1">
      <c r="B8" s="15" t="s">
        <v>72</v>
      </c>
      <c r="C8" s="33">
        <f>SUM(C9:C14)</f>
        <v>330.53661441999998</v>
      </c>
      <c r="D8" s="34">
        <f t="shared" ref="D8:N8" si="2">SUM(D9:D14)</f>
        <v>272.33571214</v>
      </c>
      <c r="E8" s="34">
        <f t="shared" si="2"/>
        <v>288.10902278999998</v>
      </c>
      <c r="F8" s="34">
        <f t="shared" si="2"/>
        <v>565.51915588999987</v>
      </c>
      <c r="G8" s="34">
        <f t="shared" si="2"/>
        <v>281.51872457000002</v>
      </c>
      <c r="H8" s="34">
        <f t="shared" si="2"/>
        <v>266.57539238999999</v>
      </c>
      <c r="I8" s="34">
        <f t="shared" si="2"/>
        <v>293.61967585000002</v>
      </c>
      <c r="J8" s="34">
        <f t="shared" si="2"/>
        <v>274.64508179000001</v>
      </c>
      <c r="K8" s="34">
        <f t="shared" si="2"/>
        <v>262.14584422000001</v>
      </c>
      <c r="L8" s="34">
        <f t="shared" si="2"/>
        <v>284.51762719000004</v>
      </c>
      <c r="M8" s="34">
        <f t="shared" si="2"/>
        <v>278.18995469999993</v>
      </c>
      <c r="N8" s="22">
        <f t="shared" si="2"/>
        <v>287.65649613000011</v>
      </c>
      <c r="O8" s="22">
        <f t="shared" si="1"/>
        <v>3685.3693020799992</v>
      </c>
    </row>
    <row r="9" spans="2:15">
      <c r="B9" s="35" t="s">
        <v>73</v>
      </c>
      <c r="C9" s="49">
        <v>164.97878252000001</v>
      </c>
      <c r="D9" s="50">
        <v>155.68274929</v>
      </c>
      <c r="E9" s="50">
        <v>163.84656188</v>
      </c>
      <c r="F9" s="50">
        <v>151.27976267999998</v>
      </c>
      <c r="G9" s="50">
        <v>161.87008711999999</v>
      </c>
      <c r="H9" s="50">
        <v>148.42005830000002</v>
      </c>
      <c r="I9" s="50">
        <v>160.15228214999999</v>
      </c>
      <c r="J9" s="50">
        <v>149.85778364000001</v>
      </c>
      <c r="K9" s="50">
        <v>143.58876561</v>
      </c>
      <c r="L9" s="50">
        <v>156.79283634999999</v>
      </c>
      <c r="M9" s="50">
        <v>147.00441036999999</v>
      </c>
      <c r="N9" s="51">
        <v>157.41942541000003</v>
      </c>
      <c r="O9" s="19">
        <f t="shared" si="1"/>
        <v>1860.8935053199998</v>
      </c>
    </row>
    <row r="10" spans="2:15">
      <c r="B10" s="35" t="s">
        <v>24</v>
      </c>
      <c r="C10" s="49">
        <v>121.81660004999999</v>
      </c>
      <c r="D10" s="50">
        <v>77.512095610000003</v>
      </c>
      <c r="E10" s="50">
        <v>83.364132900000001</v>
      </c>
      <c r="F10" s="50">
        <v>374.47478029000001</v>
      </c>
      <c r="G10" s="50">
        <v>78.89746378000001</v>
      </c>
      <c r="H10" s="50">
        <v>77.312447640000002</v>
      </c>
      <c r="I10" s="50">
        <v>91.46645144</v>
      </c>
      <c r="J10" s="50">
        <v>82.894859040000014</v>
      </c>
      <c r="K10" s="50">
        <v>79.116734780000002</v>
      </c>
      <c r="L10" s="50">
        <v>83.996861240000001</v>
      </c>
      <c r="M10" s="50">
        <v>82.256386410000005</v>
      </c>
      <c r="N10" s="51">
        <v>84.263780229999995</v>
      </c>
      <c r="O10" s="19">
        <f t="shared" si="1"/>
        <v>1317.3725934100003</v>
      </c>
    </row>
    <row r="11" spans="2:15">
      <c r="B11" s="35" t="s">
        <v>27</v>
      </c>
      <c r="C11" s="49">
        <v>13.192531520000001</v>
      </c>
      <c r="D11" s="50">
        <v>12.962868670000001</v>
      </c>
      <c r="E11" s="50">
        <v>13.98087254</v>
      </c>
      <c r="F11" s="50">
        <v>12.85341418</v>
      </c>
      <c r="G11" s="50">
        <v>16.655527200000002</v>
      </c>
      <c r="H11" s="50">
        <v>14.107174469999999</v>
      </c>
      <c r="I11" s="50">
        <v>15.30802841</v>
      </c>
      <c r="J11" s="50">
        <v>15.41240874</v>
      </c>
      <c r="K11" s="50">
        <v>14.100084900000001</v>
      </c>
      <c r="L11" s="50">
        <v>17.072624769999997</v>
      </c>
      <c r="M11" s="50">
        <v>18.129605339999998</v>
      </c>
      <c r="N11" s="51">
        <v>15.81722502</v>
      </c>
      <c r="O11" s="19">
        <f t="shared" si="1"/>
        <v>179.59236576000004</v>
      </c>
    </row>
    <row r="12" spans="2:15">
      <c r="B12" s="35" t="s">
        <v>74</v>
      </c>
      <c r="C12" s="49">
        <v>13.533148370000003</v>
      </c>
      <c r="D12" s="50">
        <v>11.31217075</v>
      </c>
      <c r="E12" s="50">
        <v>11.755092870000002</v>
      </c>
      <c r="F12" s="50">
        <v>11.81226753</v>
      </c>
      <c r="G12" s="50">
        <v>10.061035889999999</v>
      </c>
      <c r="H12" s="50">
        <v>11.30320111</v>
      </c>
      <c r="I12" s="50">
        <v>11.87030423</v>
      </c>
      <c r="J12" s="50">
        <v>11.247071389999999</v>
      </c>
      <c r="K12" s="50">
        <v>10.594546099999999</v>
      </c>
      <c r="L12" s="50">
        <v>12.2870115</v>
      </c>
      <c r="M12" s="50">
        <v>15.394931560000002</v>
      </c>
      <c r="N12" s="51">
        <v>14.917417390000001</v>
      </c>
      <c r="O12" s="19">
        <f t="shared" si="1"/>
        <v>146.08819869000001</v>
      </c>
    </row>
    <row r="13" spans="2:15">
      <c r="B13" s="35" t="s">
        <v>75</v>
      </c>
      <c r="C13" s="49">
        <v>6.36103402</v>
      </c>
      <c r="D13" s="50">
        <v>5.1734220000000004</v>
      </c>
      <c r="E13" s="50">
        <v>5.2253774499999999</v>
      </c>
      <c r="F13" s="50">
        <v>4.5842302999999998</v>
      </c>
      <c r="G13" s="50">
        <v>5.0539941199999996</v>
      </c>
      <c r="H13" s="50">
        <v>5.7541805999999998</v>
      </c>
      <c r="I13" s="50">
        <v>5.5208652100000002</v>
      </c>
      <c r="J13" s="50">
        <v>5.1417517999999998</v>
      </c>
      <c r="K13" s="50">
        <v>5.3501008199999998</v>
      </c>
      <c r="L13" s="50">
        <v>5.5950991399999994</v>
      </c>
      <c r="M13" s="50">
        <v>6.0062968100000003</v>
      </c>
      <c r="N13" s="51">
        <v>5.55111211</v>
      </c>
      <c r="O13" s="19">
        <f t="shared" si="1"/>
        <v>65.317464380000004</v>
      </c>
    </row>
    <row r="14" spans="2:15">
      <c r="B14" s="35" t="s">
        <v>76</v>
      </c>
      <c r="C14" s="49">
        <f>SUM(C15:C18)</f>
        <v>10.65451794</v>
      </c>
      <c r="D14" s="50">
        <f t="shared" ref="D14:N14" si="3">SUM(D15:D18)</f>
        <v>9.6924058200000012</v>
      </c>
      <c r="E14" s="50">
        <f t="shared" si="3"/>
        <v>9.9369851500000017</v>
      </c>
      <c r="F14" s="50">
        <f t="shared" si="3"/>
        <v>10.51470091</v>
      </c>
      <c r="G14" s="50">
        <f t="shared" si="3"/>
        <v>8.9806164600000002</v>
      </c>
      <c r="H14" s="50">
        <f t="shared" si="3"/>
        <v>9.67833027</v>
      </c>
      <c r="I14" s="50">
        <f t="shared" si="3"/>
        <v>9.3017444099999977</v>
      </c>
      <c r="J14" s="50">
        <f t="shared" si="3"/>
        <v>10.09120718</v>
      </c>
      <c r="K14" s="50">
        <f t="shared" si="3"/>
        <v>9.3956120100000007</v>
      </c>
      <c r="L14" s="50">
        <f t="shared" si="3"/>
        <v>8.7731941900000017</v>
      </c>
      <c r="M14" s="50">
        <f t="shared" si="3"/>
        <v>9.3983242100000002</v>
      </c>
      <c r="N14" s="51">
        <f t="shared" si="3"/>
        <v>9.6875359700000008</v>
      </c>
      <c r="O14" s="19">
        <f t="shared" si="1"/>
        <v>116.10517451999999</v>
      </c>
    </row>
    <row r="15" spans="2:15">
      <c r="B15" s="17" t="s">
        <v>77</v>
      </c>
      <c r="C15" s="49">
        <v>6.7368855100000005</v>
      </c>
      <c r="D15" s="50">
        <v>5.9540624000000006</v>
      </c>
      <c r="E15" s="50">
        <v>6.0498248600000002</v>
      </c>
      <c r="F15" s="50">
        <v>6.4138986200000003</v>
      </c>
      <c r="G15" s="50">
        <v>5.5157600899999997</v>
      </c>
      <c r="H15" s="50">
        <v>5.9578178799999995</v>
      </c>
      <c r="I15" s="50">
        <v>5.526653679999999</v>
      </c>
      <c r="J15" s="50">
        <v>6.1958580100000002</v>
      </c>
      <c r="K15" s="50">
        <v>5.7937110599999997</v>
      </c>
      <c r="L15" s="50">
        <v>5.2207358400000006</v>
      </c>
      <c r="M15" s="50">
        <v>5.7831851799999994</v>
      </c>
      <c r="N15" s="51">
        <v>6.0336145600000002</v>
      </c>
      <c r="O15" s="19">
        <f t="shared" si="1"/>
        <v>71.18200769000002</v>
      </c>
    </row>
    <row r="16" spans="2:15">
      <c r="B16" s="17" t="s">
        <v>78</v>
      </c>
      <c r="C16" s="49">
        <v>0</v>
      </c>
      <c r="D16" s="50">
        <v>4.9677870000000006E-2</v>
      </c>
      <c r="E16" s="50">
        <v>0.15015402999999999</v>
      </c>
      <c r="F16" s="50">
        <v>0.16159313</v>
      </c>
      <c r="G16" s="50">
        <v>0</v>
      </c>
      <c r="H16" s="50">
        <v>0</v>
      </c>
      <c r="I16" s="50">
        <v>0.25296972000000001</v>
      </c>
      <c r="J16" s="50">
        <v>0</v>
      </c>
      <c r="K16" s="50">
        <v>0</v>
      </c>
      <c r="L16" s="50">
        <v>0.25296970000000002</v>
      </c>
      <c r="M16" s="50">
        <v>0</v>
      </c>
      <c r="N16" s="51">
        <v>0</v>
      </c>
      <c r="O16" s="19">
        <f t="shared" si="1"/>
        <v>0.86736444999999995</v>
      </c>
    </row>
    <row r="17" spans="2:15">
      <c r="B17" s="17" t="s">
        <v>79</v>
      </c>
      <c r="C17" s="49">
        <v>0.54408967000000008</v>
      </c>
      <c r="D17" s="50">
        <v>0.70028435</v>
      </c>
      <c r="E17" s="50">
        <v>0.70809382999999992</v>
      </c>
      <c r="F17" s="50">
        <v>0.73080984999999998</v>
      </c>
      <c r="G17" s="50">
        <v>0.70547632999999998</v>
      </c>
      <c r="H17" s="50">
        <v>0.73705345</v>
      </c>
      <c r="I17" s="50">
        <v>0.74366916999999999</v>
      </c>
      <c r="J17" s="50">
        <v>0.78704515999999991</v>
      </c>
      <c r="K17" s="50">
        <v>0.70074542000000006</v>
      </c>
      <c r="L17" s="50">
        <v>0.68327072999999994</v>
      </c>
      <c r="M17" s="50">
        <v>0.72064645000000005</v>
      </c>
      <c r="N17" s="51">
        <v>0.63116412</v>
      </c>
      <c r="O17" s="19">
        <f t="shared" si="1"/>
        <v>8.3923485299999996</v>
      </c>
    </row>
    <row r="18" spans="2:15">
      <c r="B18" s="17" t="s">
        <v>80</v>
      </c>
      <c r="C18" s="49">
        <v>3.3735427599999999</v>
      </c>
      <c r="D18" s="50">
        <v>2.9883812000000001</v>
      </c>
      <c r="E18" s="50">
        <v>3.0289124300000001</v>
      </c>
      <c r="F18" s="50">
        <v>3.2083993100000003</v>
      </c>
      <c r="G18" s="50">
        <v>2.7593800399999999</v>
      </c>
      <c r="H18" s="50">
        <v>2.9834589399999998</v>
      </c>
      <c r="I18" s="50">
        <v>2.7784518399999998</v>
      </c>
      <c r="J18" s="50">
        <v>3.1083040099999999</v>
      </c>
      <c r="K18" s="50">
        <v>2.90115553</v>
      </c>
      <c r="L18" s="50">
        <v>2.61621792</v>
      </c>
      <c r="M18" s="50">
        <v>2.8944925800000001</v>
      </c>
      <c r="N18" s="51">
        <v>3.0227572899999999</v>
      </c>
      <c r="O18" s="19">
        <f t="shared" si="1"/>
        <v>35.663453850000003</v>
      </c>
    </row>
    <row r="19" spans="2:15" ht="24.95" customHeight="1">
      <c r="B19" s="15" t="s">
        <v>81</v>
      </c>
      <c r="C19" s="33">
        <f>SUM(C20:C25)</f>
        <v>18.08732045</v>
      </c>
      <c r="D19" s="34">
        <f t="shared" ref="D19:N19" si="4">SUM(D20:D25)</f>
        <v>12.65000467</v>
      </c>
      <c r="E19" s="34">
        <f t="shared" si="4"/>
        <v>16.765978530000002</v>
      </c>
      <c r="F19" s="34">
        <f t="shared" si="4"/>
        <v>10.93919423</v>
      </c>
      <c r="G19" s="34">
        <f t="shared" si="4"/>
        <v>14.007281950000001</v>
      </c>
      <c r="H19" s="34">
        <f t="shared" si="4"/>
        <v>9.2282316499999997</v>
      </c>
      <c r="I19" s="34">
        <f t="shared" si="4"/>
        <v>10.959705250000001</v>
      </c>
      <c r="J19" s="34">
        <f t="shared" si="4"/>
        <v>10.12384707</v>
      </c>
      <c r="K19" s="34">
        <f t="shared" si="4"/>
        <v>10.23086726</v>
      </c>
      <c r="L19" s="34">
        <f t="shared" si="4"/>
        <v>9.4912177199999999</v>
      </c>
      <c r="M19" s="34">
        <f t="shared" si="4"/>
        <v>10.843101880000001</v>
      </c>
      <c r="N19" s="22">
        <f t="shared" si="4"/>
        <v>8.7375432600000007</v>
      </c>
      <c r="O19" s="22">
        <f t="shared" si="1"/>
        <v>142.06429391999998</v>
      </c>
    </row>
    <row r="20" spans="2:15">
      <c r="B20" s="35" t="s">
        <v>82</v>
      </c>
      <c r="C20" s="49">
        <v>0.32108618999999999</v>
      </c>
      <c r="D20" s="50">
        <v>0.14323157000000003</v>
      </c>
      <c r="E20" s="50">
        <v>0.13600213999999997</v>
      </c>
      <c r="F20" s="50">
        <v>0.17163023999999999</v>
      </c>
      <c r="G20" s="50">
        <v>0.12392947000000001</v>
      </c>
      <c r="H20" s="50">
        <v>0.29826193000000001</v>
      </c>
      <c r="I20" s="50">
        <v>0.35738836000000002</v>
      </c>
      <c r="J20" s="50">
        <v>0.13364119000000002</v>
      </c>
      <c r="K20" s="50">
        <v>0.11289579999999999</v>
      </c>
      <c r="L20" s="50">
        <v>0.13705341999999998</v>
      </c>
      <c r="M20" s="50">
        <v>9.5302310000000001E-2</v>
      </c>
      <c r="N20" s="51">
        <v>0.27893813000000001</v>
      </c>
      <c r="O20" s="19">
        <f t="shared" si="1"/>
        <v>2.3093607499999997</v>
      </c>
    </row>
    <row r="21" spans="2:15">
      <c r="B21" s="35" t="s">
        <v>83</v>
      </c>
      <c r="C21" s="49">
        <v>7</v>
      </c>
      <c r="D21" s="50">
        <v>0</v>
      </c>
      <c r="E21" s="50">
        <v>0.74558275000000007</v>
      </c>
      <c r="F21" s="50">
        <v>0</v>
      </c>
      <c r="G21" s="50">
        <v>0</v>
      </c>
      <c r="H21" s="50">
        <v>0</v>
      </c>
      <c r="I21" s="50">
        <v>0</v>
      </c>
      <c r="J21" s="50">
        <v>0</v>
      </c>
      <c r="K21" s="50">
        <v>0</v>
      </c>
      <c r="L21" s="50">
        <v>0</v>
      </c>
      <c r="M21" s="50">
        <v>0</v>
      </c>
      <c r="N21" s="51">
        <v>0</v>
      </c>
      <c r="O21" s="19">
        <f t="shared" si="1"/>
        <v>7.7455827500000005</v>
      </c>
    </row>
    <row r="22" spans="2:15">
      <c r="B22" s="35" t="s">
        <v>84</v>
      </c>
      <c r="C22" s="49">
        <v>0.54489463000000005</v>
      </c>
      <c r="D22" s="50">
        <v>0.69254380999999998</v>
      </c>
      <c r="E22" s="50">
        <v>0.76763416999999989</v>
      </c>
      <c r="F22" s="50">
        <v>0.49555695</v>
      </c>
      <c r="G22" s="50">
        <v>0.63734464999999985</v>
      </c>
      <c r="H22" s="50">
        <v>0.56683066000000004</v>
      </c>
      <c r="I22" s="50">
        <v>0.60112017999999989</v>
      </c>
      <c r="J22" s="50">
        <v>0.54701566999999984</v>
      </c>
      <c r="K22" s="50">
        <v>0.54680403999999994</v>
      </c>
      <c r="L22" s="50">
        <v>0.65204978000000002</v>
      </c>
      <c r="M22" s="50">
        <v>0.60743485999999991</v>
      </c>
      <c r="N22" s="51">
        <v>0.55324364000000004</v>
      </c>
      <c r="O22" s="19">
        <f t="shared" si="1"/>
        <v>7.212473039999999</v>
      </c>
    </row>
    <row r="23" spans="2:15">
      <c r="B23" s="35" t="s">
        <v>85</v>
      </c>
      <c r="C23" s="49">
        <v>5.0435550600000001</v>
      </c>
      <c r="D23" s="50">
        <v>4.4751994100000001</v>
      </c>
      <c r="E23" s="50">
        <v>4.77241509</v>
      </c>
      <c r="F23" s="50">
        <v>4.3031720900000003</v>
      </c>
      <c r="G23" s="50">
        <v>5.2554127600000005</v>
      </c>
      <c r="H23" s="50">
        <v>2.9390664100000001</v>
      </c>
      <c r="I23" s="50">
        <v>3.0694944900000003</v>
      </c>
      <c r="J23" s="50">
        <v>2.9940972299999999</v>
      </c>
      <c r="K23" s="50">
        <v>3.2688568199999999</v>
      </c>
      <c r="L23" s="50">
        <v>3.1909609699999999</v>
      </c>
      <c r="M23" s="50">
        <v>2.9907706200000002</v>
      </c>
      <c r="N23" s="51">
        <v>2.6403723499999998</v>
      </c>
      <c r="O23" s="19">
        <f t="shared" si="1"/>
        <v>44.943373299999998</v>
      </c>
    </row>
    <row r="24" spans="2:15">
      <c r="B24" s="35" t="s">
        <v>86</v>
      </c>
      <c r="C24" s="49">
        <v>3.0554007900000002</v>
      </c>
      <c r="D24" s="50">
        <v>2.5148013900000001</v>
      </c>
      <c r="E24" s="50">
        <v>2.7217568200000004</v>
      </c>
      <c r="F24" s="50">
        <v>2.02438539</v>
      </c>
      <c r="G24" s="50">
        <v>3.2304826100000001</v>
      </c>
      <c r="H24" s="50">
        <v>2.2343606800000004</v>
      </c>
      <c r="I24" s="50">
        <v>3.0383921200000001</v>
      </c>
      <c r="J24" s="50">
        <v>2.8859914600000001</v>
      </c>
      <c r="K24" s="50">
        <v>3.31430866</v>
      </c>
      <c r="L24" s="50">
        <v>2.8441177400000002</v>
      </c>
      <c r="M24" s="50">
        <v>2.5590051000000003</v>
      </c>
      <c r="N24" s="51">
        <v>2.3564079500000004</v>
      </c>
      <c r="O24" s="19">
        <f t="shared" si="1"/>
        <v>32.779410710000001</v>
      </c>
    </row>
    <row r="25" spans="2:15">
      <c r="B25" s="35" t="s">
        <v>87</v>
      </c>
      <c r="C25" s="49">
        <v>2.1223837800000003</v>
      </c>
      <c r="D25" s="50">
        <v>4.8242284899999994</v>
      </c>
      <c r="E25" s="50">
        <v>7.6225875600000004</v>
      </c>
      <c r="F25" s="50">
        <v>3.9444495599999998</v>
      </c>
      <c r="G25" s="50">
        <v>4.7601124600000002</v>
      </c>
      <c r="H25" s="50">
        <v>3.1897119699999998</v>
      </c>
      <c r="I25" s="50">
        <v>3.8933100999999999</v>
      </c>
      <c r="J25" s="50">
        <v>3.56310152</v>
      </c>
      <c r="K25" s="50">
        <v>2.9880019399999997</v>
      </c>
      <c r="L25" s="50">
        <v>2.6670358100000002</v>
      </c>
      <c r="M25" s="50">
        <v>4.5905889900000005</v>
      </c>
      <c r="N25" s="51">
        <v>2.90858119</v>
      </c>
      <c r="O25" s="19">
        <f t="shared" si="1"/>
        <v>47.07409337</v>
      </c>
    </row>
    <row r="26" spans="2:15" ht="24.95" customHeight="1">
      <c r="B26" s="25" t="s">
        <v>88</v>
      </c>
      <c r="C26" s="33">
        <f>SUM(C27:C28)</f>
        <v>0.219</v>
      </c>
      <c r="D26" s="34">
        <f t="shared" ref="D26:N26" si="5">SUM(D27:D28)</f>
        <v>8.5000000000000006E-2</v>
      </c>
      <c r="E26" s="34">
        <f t="shared" si="5"/>
        <v>3.58090566</v>
      </c>
      <c r="F26" s="34">
        <f t="shared" si="5"/>
        <v>4.5047871300000004</v>
      </c>
      <c r="G26" s="34">
        <f t="shared" si="5"/>
        <v>9.0304699999999993</v>
      </c>
      <c r="H26" s="34">
        <f t="shared" si="5"/>
        <v>2.6013482999999997</v>
      </c>
      <c r="I26" s="34">
        <f t="shared" si="5"/>
        <v>1.0834329899999999</v>
      </c>
      <c r="J26" s="34">
        <f t="shared" si="5"/>
        <v>0.68904963000000008</v>
      </c>
      <c r="K26" s="34">
        <f t="shared" si="5"/>
        <v>0.6369999999999999</v>
      </c>
      <c r="L26" s="34">
        <f t="shared" si="5"/>
        <v>1.9892569600000001</v>
      </c>
      <c r="M26" s="34">
        <f t="shared" si="5"/>
        <v>2.4870000000000001</v>
      </c>
      <c r="N26" s="22">
        <f t="shared" si="5"/>
        <v>3.2487192900000004</v>
      </c>
      <c r="O26" s="22">
        <f t="shared" si="1"/>
        <v>30.155969959999997</v>
      </c>
    </row>
    <row r="27" spans="2:15">
      <c r="B27" s="35" t="s">
        <v>89</v>
      </c>
      <c r="C27" s="49">
        <v>0.01</v>
      </c>
      <c r="D27" s="50">
        <v>0</v>
      </c>
      <c r="E27" s="50">
        <v>2.4E-2</v>
      </c>
      <c r="F27" s="50">
        <v>3.3100000000000002E-4</v>
      </c>
      <c r="G27" s="50">
        <v>0</v>
      </c>
      <c r="H27" s="50">
        <v>0.14134830000000001</v>
      </c>
      <c r="I27" s="50"/>
      <c r="J27" s="50"/>
      <c r="K27" s="50"/>
      <c r="L27" s="50">
        <v>1.0537000000000001E-3</v>
      </c>
      <c r="M27" s="50"/>
      <c r="N27" s="51"/>
      <c r="O27" s="19">
        <f t="shared" si="1"/>
        <v>0.176733</v>
      </c>
    </row>
    <row r="28" spans="2:15">
      <c r="B28" s="35" t="s">
        <v>90</v>
      </c>
      <c r="C28" s="49">
        <v>0.20899999999999999</v>
      </c>
      <c r="D28" s="50">
        <v>8.5000000000000006E-2</v>
      </c>
      <c r="E28" s="50">
        <v>3.55690566</v>
      </c>
      <c r="F28" s="50">
        <v>4.5044561300000003</v>
      </c>
      <c r="G28" s="50">
        <v>9.0304699999999993</v>
      </c>
      <c r="H28" s="50">
        <v>2.4599999999999995</v>
      </c>
      <c r="I28" s="50">
        <v>1.0834329899999999</v>
      </c>
      <c r="J28" s="50">
        <v>0.68904963000000008</v>
      </c>
      <c r="K28" s="50">
        <v>0.6369999999999999</v>
      </c>
      <c r="L28" s="50">
        <v>1.9882032600000001</v>
      </c>
      <c r="M28" s="50">
        <v>2.4870000000000001</v>
      </c>
      <c r="N28" s="51">
        <v>3.2487192900000004</v>
      </c>
      <c r="O28" s="19">
        <f t="shared" si="1"/>
        <v>29.979236959999998</v>
      </c>
    </row>
    <row r="29" spans="2:15" ht="24.95" customHeight="1">
      <c r="B29" s="38" t="s">
        <v>91</v>
      </c>
      <c r="C29" s="39">
        <f>+C7+C26</f>
        <v>348.84293486999997</v>
      </c>
      <c r="D29" s="40">
        <f t="shared" ref="D29:N29" si="6">+D7+D26</f>
        <v>285.07071680999996</v>
      </c>
      <c r="E29" s="40">
        <f t="shared" si="6"/>
        <v>308.45590697999995</v>
      </c>
      <c r="F29" s="40">
        <f t="shared" si="6"/>
        <v>580.96313724999982</v>
      </c>
      <c r="G29" s="40">
        <f t="shared" si="6"/>
        <v>304.55647651999999</v>
      </c>
      <c r="H29" s="40">
        <f t="shared" si="6"/>
        <v>278.40497233999997</v>
      </c>
      <c r="I29" s="40">
        <f t="shared" si="6"/>
        <v>305.66281409000004</v>
      </c>
      <c r="J29" s="40">
        <f t="shared" si="6"/>
        <v>285.45797849000002</v>
      </c>
      <c r="K29" s="40">
        <f t="shared" si="6"/>
        <v>273.01371148000004</v>
      </c>
      <c r="L29" s="40">
        <f t="shared" si="6"/>
        <v>295.99810187000003</v>
      </c>
      <c r="M29" s="40">
        <f t="shared" si="6"/>
        <v>291.52005657999996</v>
      </c>
      <c r="N29" s="41">
        <f t="shared" si="6"/>
        <v>299.6427586800001</v>
      </c>
      <c r="O29" s="41">
        <f>SUM(C29:N29)</f>
        <v>3857.5895659600001</v>
      </c>
    </row>
    <row r="30" spans="2:15" ht="8.25" customHeight="1">
      <c r="B30" s="42"/>
      <c r="C30" s="36"/>
      <c r="D30" s="37"/>
      <c r="E30" s="37"/>
      <c r="F30" s="37"/>
      <c r="G30" s="37"/>
      <c r="H30" s="37"/>
      <c r="I30" s="37"/>
      <c r="J30" s="37"/>
      <c r="K30" s="37"/>
      <c r="L30" s="37"/>
      <c r="M30" s="37"/>
      <c r="N30" s="19"/>
      <c r="O30" s="19"/>
    </row>
    <row r="31" spans="2:15" ht="24.95" customHeight="1">
      <c r="B31" s="25" t="s">
        <v>92</v>
      </c>
      <c r="C31" s="33">
        <f>SUM(C32:C33)</f>
        <v>13.636265739999999</v>
      </c>
      <c r="D31" s="34">
        <f t="shared" ref="D31:N31" si="7">SUM(D32:D33)</f>
        <v>15.57651886</v>
      </c>
      <c r="E31" s="34">
        <f t="shared" si="7"/>
        <v>19.096762689999998</v>
      </c>
      <c r="F31" s="34">
        <f t="shared" si="7"/>
        <v>28.62516359</v>
      </c>
      <c r="G31" s="34">
        <f t="shared" si="7"/>
        <v>24.848321429999999</v>
      </c>
      <c r="H31" s="34">
        <f t="shared" si="7"/>
        <v>20.388755230000001</v>
      </c>
      <c r="I31" s="34">
        <f t="shared" si="7"/>
        <v>28.687898369999999</v>
      </c>
      <c r="J31" s="34">
        <f t="shared" si="7"/>
        <v>25.250912329999998</v>
      </c>
      <c r="K31" s="34">
        <f t="shared" si="7"/>
        <v>18.903109820000001</v>
      </c>
      <c r="L31" s="34">
        <f t="shared" si="7"/>
        <v>27.107540059999998</v>
      </c>
      <c r="M31" s="34">
        <f t="shared" si="7"/>
        <v>18.590138449999998</v>
      </c>
      <c r="N31" s="22">
        <f t="shared" si="7"/>
        <v>10.83652418</v>
      </c>
      <c r="O31" s="22">
        <f>SUM(C31:N31)</f>
        <v>251.54791075</v>
      </c>
    </row>
    <row r="32" spans="2:15">
      <c r="B32" s="43" t="s">
        <v>93</v>
      </c>
      <c r="C32" s="49">
        <v>0</v>
      </c>
      <c r="D32" s="50">
        <v>1.9999591200000002</v>
      </c>
      <c r="E32" s="50">
        <v>5.5189625499999995</v>
      </c>
      <c r="F32" s="50">
        <v>10.629181790000001</v>
      </c>
      <c r="G32" s="50">
        <v>8.8038643599999968</v>
      </c>
      <c r="H32" s="50">
        <v>6.9111298799999989</v>
      </c>
      <c r="I32" s="50">
        <v>9.0725331499999999</v>
      </c>
      <c r="J32" s="50">
        <v>9.6652950799999999</v>
      </c>
      <c r="K32" s="50">
        <v>3.0232931600000001</v>
      </c>
      <c r="L32" s="50">
        <v>9.6429934300000024</v>
      </c>
      <c r="M32" s="50">
        <v>2.3350361799999999</v>
      </c>
      <c r="N32" s="51"/>
      <c r="O32" s="19">
        <f>SUM(C32:N32)</f>
        <v>67.602248700000004</v>
      </c>
    </row>
    <row r="33" spans="2:15">
      <c r="B33" s="44" t="s">
        <v>94</v>
      </c>
      <c r="C33" s="52">
        <v>13.636265739999999</v>
      </c>
      <c r="D33" s="53">
        <v>13.57655974</v>
      </c>
      <c r="E33" s="53">
        <v>13.577800139999999</v>
      </c>
      <c r="F33" s="53">
        <v>17.995981799999999</v>
      </c>
      <c r="G33" s="53">
        <v>16.04445707</v>
      </c>
      <c r="H33" s="53">
        <v>13.47762535</v>
      </c>
      <c r="I33" s="53">
        <v>19.615365220000001</v>
      </c>
      <c r="J33" s="53">
        <v>15.58561725</v>
      </c>
      <c r="K33" s="53">
        <v>15.879816659999999</v>
      </c>
      <c r="L33" s="53">
        <v>17.464546629999997</v>
      </c>
      <c r="M33" s="53">
        <v>16.255102269999998</v>
      </c>
      <c r="N33" s="54">
        <v>10.83652418</v>
      </c>
      <c r="O33" s="47">
        <f>SUM(C33:N33)</f>
        <v>183.94566204999998</v>
      </c>
    </row>
    <row r="34" spans="2:15">
      <c r="B34" s="48" t="s">
        <v>95</v>
      </c>
      <c r="C34" s="2"/>
      <c r="D34" s="2"/>
      <c r="E34" s="2"/>
      <c r="F34" s="2"/>
      <c r="G34" s="2"/>
      <c r="H34" s="2"/>
      <c r="I34" s="2"/>
      <c r="J34" s="2"/>
      <c r="K34" s="2"/>
      <c r="L34" s="2"/>
      <c r="M34" s="2"/>
      <c r="N34" s="2"/>
      <c r="O34" s="2"/>
    </row>
    <row r="35" spans="2:15">
      <c r="B35" s="48" t="s">
        <v>96</v>
      </c>
      <c r="C35" s="2"/>
      <c r="D35" s="2"/>
      <c r="E35" s="2"/>
      <c r="F35" s="2"/>
      <c r="G35" s="2"/>
      <c r="H35" s="2"/>
      <c r="I35" s="2"/>
      <c r="J35" s="2"/>
      <c r="K35" s="2"/>
      <c r="L35" s="2"/>
      <c r="M35" s="2"/>
      <c r="N35" s="2"/>
      <c r="O35" s="2"/>
    </row>
    <row r="36" spans="2:15">
      <c r="B36" s="48" t="s">
        <v>97</v>
      </c>
      <c r="C36" s="2"/>
      <c r="D36" s="2"/>
      <c r="E36" s="2"/>
      <c r="F36" s="2"/>
      <c r="G36" s="2"/>
      <c r="H36" s="2"/>
      <c r="I36" s="2"/>
      <c r="J36" s="2"/>
      <c r="K36" s="2"/>
      <c r="L36" s="2"/>
      <c r="M36" s="2"/>
      <c r="N36" s="2"/>
      <c r="O36" s="2"/>
    </row>
  </sheetData>
  <printOptions horizontalCentered="1"/>
  <pageMargins left="0.7" right="0.7" top="0.75" bottom="0.75" header="0.3" footer="0.3"/>
  <pageSetup scale="7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2:O37"/>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s>
  <sheetData>
    <row r="2" spans="2:15">
      <c r="B2" t="s">
        <v>18</v>
      </c>
    </row>
    <row r="3" spans="2:15">
      <c r="B3" t="s">
        <v>100</v>
      </c>
    </row>
    <row r="4" spans="2:15">
      <c r="B4" t="s">
        <v>19</v>
      </c>
    </row>
    <row r="6" spans="2:15"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2013</v>
      </c>
    </row>
    <row r="7" spans="2:15" ht="24.95" customHeight="1">
      <c r="B7" s="25" t="s">
        <v>71</v>
      </c>
      <c r="C7" s="33">
        <f>C8+C20</f>
        <v>378.14923916999999</v>
      </c>
      <c r="D7" s="34">
        <f>+D8+D20</f>
        <v>282.10682937000007</v>
      </c>
      <c r="E7" s="34">
        <f t="shared" ref="E7:M7" si="0">+E8+E20</f>
        <v>293.95004193</v>
      </c>
      <c r="F7" s="34">
        <f t="shared" si="0"/>
        <v>667.58685530000002</v>
      </c>
      <c r="G7" s="34">
        <f t="shared" si="0"/>
        <v>328.12596896999997</v>
      </c>
      <c r="H7" s="34">
        <f t="shared" si="0"/>
        <v>295.31195141000006</v>
      </c>
      <c r="I7" s="34">
        <f t="shared" si="0"/>
        <v>323.26110671000004</v>
      </c>
      <c r="J7" s="34">
        <f t="shared" si="0"/>
        <v>298.42815310000003</v>
      </c>
      <c r="K7" s="34">
        <f t="shared" si="0"/>
        <v>280.59537003999998</v>
      </c>
      <c r="L7" s="34">
        <f t="shared" si="0"/>
        <v>318.02930056000002</v>
      </c>
      <c r="M7" s="34">
        <f t="shared" si="0"/>
        <v>302.76630560999996</v>
      </c>
      <c r="N7" s="22">
        <f>+N8+N20</f>
        <v>320.36310330999999</v>
      </c>
      <c r="O7" s="22">
        <f t="shared" ref="O7:O29" si="1">SUM(C7:N7)</f>
        <v>4088.6742254800006</v>
      </c>
    </row>
    <row r="8" spans="2:15" ht="24.95" customHeight="1">
      <c r="B8" s="15" t="s">
        <v>72</v>
      </c>
      <c r="C8" s="33">
        <f>SUM(C9:C14)</f>
        <v>365.39543524999999</v>
      </c>
      <c r="D8" s="34">
        <f t="shared" ref="D8:N8" si="2">SUM(D9:D14)</f>
        <v>273.02327061000005</v>
      </c>
      <c r="E8" s="34">
        <f t="shared" si="2"/>
        <v>283.26428893000002</v>
      </c>
      <c r="F8" s="34">
        <f t="shared" si="2"/>
        <v>655.07278097000005</v>
      </c>
      <c r="G8" s="34">
        <f t="shared" si="2"/>
        <v>307.1055657</v>
      </c>
      <c r="H8" s="34">
        <f t="shared" si="2"/>
        <v>284.29572649000005</v>
      </c>
      <c r="I8" s="34">
        <f t="shared" si="2"/>
        <v>312.72773884000003</v>
      </c>
      <c r="J8" s="34">
        <f t="shared" si="2"/>
        <v>287.74144178</v>
      </c>
      <c r="K8" s="34">
        <f t="shared" si="2"/>
        <v>271.25409294999997</v>
      </c>
      <c r="L8" s="34">
        <f t="shared" si="2"/>
        <v>308.33929179</v>
      </c>
      <c r="M8" s="34">
        <f t="shared" si="2"/>
        <v>293.09155719999995</v>
      </c>
      <c r="N8" s="22">
        <f t="shared" si="2"/>
        <v>302.78450240000001</v>
      </c>
      <c r="O8" s="22">
        <f t="shared" si="1"/>
        <v>3944.0956929099998</v>
      </c>
    </row>
    <row r="9" spans="2:15">
      <c r="B9" s="35" t="s">
        <v>73</v>
      </c>
      <c r="C9" s="49">
        <v>177.47474420999998</v>
      </c>
      <c r="D9" s="50">
        <v>146.90523834000001</v>
      </c>
      <c r="E9" s="50">
        <v>146.49508953</v>
      </c>
      <c r="F9" s="50">
        <v>160.93851351999999</v>
      </c>
      <c r="G9" s="50">
        <v>167.71383241000001</v>
      </c>
      <c r="H9" s="50">
        <v>151.83567314999999</v>
      </c>
      <c r="I9" s="50">
        <v>167.08219947000001</v>
      </c>
      <c r="J9" s="50">
        <v>153.49724806</v>
      </c>
      <c r="K9" s="50">
        <v>146.23889181999999</v>
      </c>
      <c r="L9" s="50">
        <v>168.29241414000001</v>
      </c>
      <c r="M9" s="50">
        <v>155.78241569999997</v>
      </c>
      <c r="N9" s="51">
        <v>159.39750884999998</v>
      </c>
      <c r="O9" s="19">
        <f t="shared" si="1"/>
        <v>1901.6537691999999</v>
      </c>
    </row>
    <row r="10" spans="2:15">
      <c r="B10" s="35" t="s">
        <v>24</v>
      </c>
      <c r="C10" s="49">
        <v>142.72264639999997</v>
      </c>
      <c r="D10" s="50">
        <v>86.711574039999988</v>
      </c>
      <c r="E10" s="50">
        <v>94.182554559999986</v>
      </c>
      <c r="F10" s="50">
        <v>450.33918668000001</v>
      </c>
      <c r="G10" s="50">
        <v>89.945620959999999</v>
      </c>
      <c r="H10" s="50">
        <v>87.78123106000001</v>
      </c>
      <c r="I10" s="50">
        <v>97.547357849999997</v>
      </c>
      <c r="J10" s="50">
        <v>91.030086850000004</v>
      </c>
      <c r="K10" s="50">
        <v>84.903022410000005</v>
      </c>
      <c r="L10" s="50">
        <v>93.529841680000004</v>
      </c>
      <c r="M10" s="50">
        <v>90.482686580000006</v>
      </c>
      <c r="N10" s="51">
        <v>97.191543199999984</v>
      </c>
      <c r="O10" s="19">
        <f t="shared" si="1"/>
        <v>1506.3673522700001</v>
      </c>
    </row>
    <row r="11" spans="2:15">
      <c r="B11" s="35" t="s">
        <v>27</v>
      </c>
      <c r="C11" s="49">
        <v>15.180414110000001</v>
      </c>
      <c r="D11" s="50">
        <v>13.539604090000001</v>
      </c>
      <c r="E11" s="50">
        <v>17.091651349999996</v>
      </c>
      <c r="F11" s="50">
        <v>16.34065528</v>
      </c>
      <c r="G11" s="50">
        <v>18.56349801</v>
      </c>
      <c r="H11" s="50">
        <v>14.359549150000001</v>
      </c>
      <c r="I11" s="50">
        <v>17.477930359999998</v>
      </c>
      <c r="J11" s="50">
        <v>16.433146069999999</v>
      </c>
      <c r="K11" s="50">
        <v>15.614753510000002</v>
      </c>
      <c r="L11" s="50">
        <v>20.935286399999999</v>
      </c>
      <c r="M11" s="50">
        <v>18.072397109999997</v>
      </c>
      <c r="N11" s="51">
        <v>15.599373780000002</v>
      </c>
      <c r="O11" s="19">
        <f t="shared" si="1"/>
        <v>199.20825922000003</v>
      </c>
    </row>
    <row r="12" spans="2:15">
      <c r="B12" s="35" t="s">
        <v>74</v>
      </c>
      <c r="C12" s="49">
        <v>13.287931500000001</v>
      </c>
      <c r="D12" s="50">
        <v>10.522560060000002</v>
      </c>
      <c r="E12" s="50">
        <v>11.119487899999999</v>
      </c>
      <c r="F12" s="50">
        <v>11.90472759</v>
      </c>
      <c r="G12" s="50">
        <v>11.939725649999996</v>
      </c>
      <c r="H12" s="50">
        <v>11.73928796</v>
      </c>
      <c r="I12" s="50">
        <v>13.443425849999999</v>
      </c>
      <c r="J12" s="50">
        <v>11.651743000000002</v>
      </c>
      <c r="K12" s="50">
        <v>9.2877981099999971</v>
      </c>
      <c r="L12" s="50">
        <v>11.69799426</v>
      </c>
      <c r="M12" s="50">
        <v>13.374902910000001</v>
      </c>
      <c r="N12" s="51">
        <v>15.100289039999998</v>
      </c>
      <c r="O12" s="19">
        <f t="shared" si="1"/>
        <v>145.06987382999998</v>
      </c>
    </row>
    <row r="13" spans="2:15">
      <c r="B13" s="35" t="s">
        <v>75</v>
      </c>
      <c r="C13" s="49">
        <v>6.4050348899999978</v>
      </c>
      <c r="D13" s="50">
        <v>5.4276358799999995</v>
      </c>
      <c r="E13" s="50">
        <v>5.0515902100000005</v>
      </c>
      <c r="F13" s="50">
        <v>5.5211804000000004</v>
      </c>
      <c r="G13" s="50">
        <v>5.4605882800000005</v>
      </c>
      <c r="H13" s="50">
        <v>5.2628536700000002</v>
      </c>
      <c r="I13" s="50">
        <v>6.333636359999999</v>
      </c>
      <c r="J13" s="50">
        <v>5.0308583699999998</v>
      </c>
      <c r="K13" s="50">
        <v>5.4691160199999995</v>
      </c>
      <c r="L13" s="50">
        <v>5.1272326599999998</v>
      </c>
      <c r="M13" s="50">
        <v>5.3278280800000006</v>
      </c>
      <c r="N13" s="51">
        <v>5.4381955</v>
      </c>
      <c r="O13" s="19">
        <f t="shared" si="1"/>
        <v>65.855750319999999</v>
      </c>
    </row>
    <row r="14" spans="2:15">
      <c r="B14" s="35" t="s">
        <v>76</v>
      </c>
      <c r="C14" s="49">
        <f>SUM(C15:C19)</f>
        <v>10.324664139999999</v>
      </c>
      <c r="D14" s="50">
        <f t="shared" ref="D14:N14" si="3">SUM(D15:D19)</f>
        <v>9.9166582000000005</v>
      </c>
      <c r="E14" s="50">
        <f t="shared" si="3"/>
        <v>9.3239153800000008</v>
      </c>
      <c r="F14" s="50">
        <f t="shared" si="3"/>
        <v>10.0285175</v>
      </c>
      <c r="G14" s="50">
        <f t="shared" si="3"/>
        <v>13.482300390000001</v>
      </c>
      <c r="H14" s="50">
        <f t="shared" si="3"/>
        <v>13.317131499999999</v>
      </c>
      <c r="I14" s="50">
        <f t="shared" si="3"/>
        <v>10.843188950000002</v>
      </c>
      <c r="J14" s="50">
        <f t="shared" si="3"/>
        <v>10.09835943</v>
      </c>
      <c r="K14" s="50">
        <f t="shared" si="3"/>
        <v>9.7405110799999992</v>
      </c>
      <c r="L14" s="50">
        <f t="shared" si="3"/>
        <v>8.7565226500000009</v>
      </c>
      <c r="M14" s="50">
        <f t="shared" si="3"/>
        <v>10.051326820000002</v>
      </c>
      <c r="N14" s="51">
        <f t="shared" si="3"/>
        <v>10.05759203</v>
      </c>
      <c r="O14" s="19">
        <f t="shared" si="1"/>
        <v>125.94068807000001</v>
      </c>
    </row>
    <row r="15" spans="2:15">
      <c r="B15" s="17" t="s">
        <v>77</v>
      </c>
      <c r="C15" s="49">
        <v>6.5150039800000004</v>
      </c>
      <c r="D15" s="50">
        <v>6.1172672400000003</v>
      </c>
      <c r="E15" s="50">
        <v>5.7391136999999999</v>
      </c>
      <c r="F15" s="50">
        <v>6.1297714499999998</v>
      </c>
      <c r="G15" s="50">
        <v>6.1666909800000003</v>
      </c>
      <c r="H15" s="50">
        <v>6.1121380099999998</v>
      </c>
      <c r="I15" s="50">
        <v>5.6525688600000006</v>
      </c>
      <c r="J15" s="50">
        <v>6.1075456099999998</v>
      </c>
      <c r="K15" s="50">
        <v>5.9304431399999995</v>
      </c>
      <c r="L15" s="50">
        <v>5.2483144199999998</v>
      </c>
      <c r="M15" s="50">
        <v>6.1837673600000009</v>
      </c>
      <c r="N15" s="51">
        <v>6.1919555300000004</v>
      </c>
      <c r="O15" s="19">
        <f t="shared" si="1"/>
        <v>72.094580280000017</v>
      </c>
    </row>
    <row r="16" spans="2:15">
      <c r="B16" s="17" t="s">
        <v>78</v>
      </c>
      <c r="C16" s="49">
        <v>0</v>
      </c>
      <c r="D16" s="50">
        <v>0</v>
      </c>
      <c r="E16" s="50">
        <v>0</v>
      </c>
      <c r="F16" s="50">
        <v>0</v>
      </c>
      <c r="G16" s="50">
        <v>0</v>
      </c>
      <c r="H16" s="50">
        <v>0</v>
      </c>
      <c r="I16" s="50">
        <v>0.22119108000000001</v>
      </c>
      <c r="J16" s="50">
        <v>0.11042712</v>
      </c>
      <c r="K16" s="50">
        <v>9.3191190000000007E-2</v>
      </c>
      <c r="L16" s="50">
        <v>0.14160310000000001</v>
      </c>
      <c r="M16" s="50">
        <v>0</v>
      </c>
      <c r="N16" s="51">
        <v>0</v>
      </c>
      <c r="O16" s="19">
        <f t="shared" si="1"/>
        <v>0.56641249000000005</v>
      </c>
    </row>
    <row r="17" spans="2:15">
      <c r="B17" s="17" t="s">
        <v>79</v>
      </c>
      <c r="C17" s="49">
        <v>0.54930816000000005</v>
      </c>
      <c r="D17" s="50">
        <v>0.72440733000000002</v>
      </c>
      <c r="E17" s="50">
        <v>0.71299482999999997</v>
      </c>
      <c r="F17" s="50">
        <v>0.81588112999999995</v>
      </c>
      <c r="G17" s="50">
        <v>0.8229339200000001</v>
      </c>
      <c r="H17" s="50">
        <v>0.78377949000000002</v>
      </c>
      <c r="I17" s="50">
        <v>0.76275148000000004</v>
      </c>
      <c r="J17" s="50">
        <v>0.8150345</v>
      </c>
      <c r="K17" s="50">
        <v>0.73246997999999996</v>
      </c>
      <c r="L17" s="50">
        <v>0.72275002999999993</v>
      </c>
      <c r="M17" s="50">
        <v>0.77252578000000005</v>
      </c>
      <c r="N17" s="51">
        <v>0.76585873999999998</v>
      </c>
      <c r="O17" s="19">
        <f t="shared" si="1"/>
        <v>8.9806953700000012</v>
      </c>
    </row>
    <row r="18" spans="2:15">
      <c r="B18" s="17" t="s">
        <v>80</v>
      </c>
      <c r="C18" s="49">
        <v>3.2603519999999997</v>
      </c>
      <c r="D18" s="50">
        <v>3.0749836299999997</v>
      </c>
      <c r="E18" s="50">
        <v>2.87180685</v>
      </c>
      <c r="F18" s="50">
        <v>3.08286492</v>
      </c>
      <c r="G18" s="50">
        <v>3.08969549</v>
      </c>
      <c r="H18" s="50">
        <v>3.0659689999999999</v>
      </c>
      <c r="I18" s="50">
        <v>2.8588175299999996</v>
      </c>
      <c r="J18" s="50">
        <v>3.0653522000000004</v>
      </c>
      <c r="K18" s="50">
        <v>2.9844067700000001</v>
      </c>
      <c r="L18" s="50">
        <v>2.6438551000000001</v>
      </c>
      <c r="M18" s="50">
        <v>3.0950336799999998</v>
      </c>
      <c r="N18" s="51">
        <v>3.0997777599999998</v>
      </c>
      <c r="O18" s="19">
        <f t="shared" si="1"/>
        <v>36.192914930000001</v>
      </c>
    </row>
    <row r="19" spans="2:15">
      <c r="B19" s="17" t="s">
        <v>48</v>
      </c>
      <c r="C19" s="49"/>
      <c r="D19" s="50"/>
      <c r="E19" s="50"/>
      <c r="F19" s="50"/>
      <c r="G19" s="50">
        <v>3.4029799999999999</v>
      </c>
      <c r="H19" s="50">
        <v>3.355245</v>
      </c>
      <c r="I19" s="50">
        <v>1.3478599999999998</v>
      </c>
      <c r="J19" s="50"/>
      <c r="K19" s="50"/>
      <c r="L19" s="50"/>
      <c r="M19" s="50"/>
      <c r="N19" s="51"/>
      <c r="O19" s="19">
        <f t="shared" si="1"/>
        <v>8.1060850000000002</v>
      </c>
    </row>
    <row r="20" spans="2:15" ht="24.95" customHeight="1">
      <c r="B20" s="15" t="s">
        <v>81</v>
      </c>
      <c r="C20" s="33">
        <f>SUM(C21:C26)</f>
        <v>12.753803919999999</v>
      </c>
      <c r="D20" s="34">
        <f t="shared" ref="D20:N20" si="4">SUM(D21:D26)</f>
        <v>9.083558759999999</v>
      </c>
      <c r="E20" s="34">
        <f t="shared" si="4"/>
        <v>10.685753000000002</v>
      </c>
      <c r="F20" s="34">
        <f t="shared" si="4"/>
        <v>12.51407433</v>
      </c>
      <c r="G20" s="34">
        <f t="shared" si="4"/>
        <v>21.020403269999999</v>
      </c>
      <c r="H20" s="34">
        <f t="shared" si="4"/>
        <v>11.016224919999999</v>
      </c>
      <c r="I20" s="34">
        <f t="shared" si="4"/>
        <v>10.533367870000001</v>
      </c>
      <c r="J20" s="34">
        <f t="shared" si="4"/>
        <v>10.686711320000001</v>
      </c>
      <c r="K20" s="34">
        <f t="shared" si="4"/>
        <v>9.3412770900000002</v>
      </c>
      <c r="L20" s="34">
        <f t="shared" si="4"/>
        <v>9.6900087700000004</v>
      </c>
      <c r="M20" s="34">
        <f t="shared" si="4"/>
        <v>9.6747484099999994</v>
      </c>
      <c r="N20" s="22">
        <f t="shared" si="4"/>
        <v>17.578600910000002</v>
      </c>
      <c r="O20" s="22">
        <f t="shared" si="1"/>
        <v>144.57853257000002</v>
      </c>
    </row>
    <row r="21" spans="2:15">
      <c r="B21" s="35" t="s">
        <v>82</v>
      </c>
      <c r="C21" s="49">
        <v>0.25382028000000001</v>
      </c>
      <c r="D21" s="50">
        <v>0.11894684999999999</v>
      </c>
      <c r="E21" s="50">
        <v>0.21947538</v>
      </c>
      <c r="F21" s="50">
        <v>0.14839817000000002</v>
      </c>
      <c r="G21" s="50">
        <v>0.22290789</v>
      </c>
      <c r="H21" s="50">
        <v>0.4899116</v>
      </c>
      <c r="I21" s="50">
        <v>0.32555143000000003</v>
      </c>
      <c r="J21" s="50">
        <v>0.21101728999999994</v>
      </c>
      <c r="K21" s="50">
        <v>0.16640641000000003</v>
      </c>
      <c r="L21" s="50">
        <v>0.14492172000000003</v>
      </c>
      <c r="M21" s="50">
        <v>0.15444474000000005</v>
      </c>
      <c r="N21" s="51">
        <v>0.27859417000000003</v>
      </c>
      <c r="O21" s="19">
        <f t="shared" si="1"/>
        <v>2.7343959300000003</v>
      </c>
    </row>
    <row r="22" spans="2:15">
      <c r="B22" s="35" t="s">
        <v>83</v>
      </c>
      <c r="C22" s="49">
        <v>0</v>
      </c>
      <c r="D22" s="50">
        <v>0</v>
      </c>
      <c r="E22" s="50">
        <v>0</v>
      </c>
      <c r="F22" s="50">
        <v>0</v>
      </c>
      <c r="G22" s="50">
        <v>9.7780047299999993</v>
      </c>
      <c r="H22" s="50">
        <v>0</v>
      </c>
      <c r="I22" s="50">
        <v>0</v>
      </c>
      <c r="J22" s="50">
        <v>0</v>
      </c>
      <c r="K22" s="50">
        <v>0</v>
      </c>
      <c r="L22" s="50">
        <v>0</v>
      </c>
      <c r="M22" s="50">
        <v>0</v>
      </c>
      <c r="N22" s="51">
        <v>0</v>
      </c>
      <c r="O22" s="19">
        <f t="shared" si="1"/>
        <v>9.7780047299999993</v>
      </c>
    </row>
    <row r="23" spans="2:15">
      <c r="B23" s="35" t="s">
        <v>84</v>
      </c>
      <c r="C23" s="49">
        <v>0.87821254000000004</v>
      </c>
      <c r="D23" s="50">
        <v>0.68326292999999994</v>
      </c>
      <c r="E23" s="50">
        <v>0.6365775600000001</v>
      </c>
      <c r="F23" s="50">
        <v>0.85914705999999996</v>
      </c>
      <c r="G23" s="50">
        <v>0.90094577000000009</v>
      </c>
      <c r="H23" s="50">
        <v>0.86463055000000011</v>
      </c>
      <c r="I23" s="50">
        <v>0.9278098600000001</v>
      </c>
      <c r="J23" s="50">
        <v>0.88703115999999993</v>
      </c>
      <c r="K23" s="50">
        <v>0.84264714000000007</v>
      </c>
      <c r="L23" s="50">
        <v>0.89312939999999996</v>
      </c>
      <c r="M23" s="50">
        <v>0.94237984000000008</v>
      </c>
      <c r="N23" s="51">
        <v>0.85573471999999995</v>
      </c>
      <c r="O23" s="19">
        <f t="shared" si="1"/>
        <v>10.171508529999999</v>
      </c>
    </row>
    <row r="24" spans="2:15">
      <c r="B24" s="35" t="s">
        <v>85</v>
      </c>
      <c r="C24" s="49">
        <v>2.9661314199999995</v>
      </c>
      <c r="D24" s="50">
        <v>2.7858763</v>
      </c>
      <c r="E24" s="50">
        <v>2.9062920800000005</v>
      </c>
      <c r="F24" s="50">
        <v>3.2397387800000002</v>
      </c>
      <c r="G24" s="50">
        <v>3.0353269699999998</v>
      </c>
      <c r="H24" s="50">
        <v>3.1517883499999999</v>
      </c>
      <c r="I24" s="50">
        <v>3.1131049499999999</v>
      </c>
      <c r="J24" s="50">
        <v>2.8292606500000002</v>
      </c>
      <c r="K24" s="50">
        <v>2.8920755800000002</v>
      </c>
      <c r="L24" s="50">
        <v>2.8918570599999995</v>
      </c>
      <c r="M24" s="50">
        <v>2.9271588500000001</v>
      </c>
      <c r="N24" s="51">
        <v>2.8517275200000003</v>
      </c>
      <c r="O24" s="19">
        <f t="shared" si="1"/>
        <v>35.590338509999995</v>
      </c>
    </row>
    <row r="25" spans="2:15">
      <c r="B25" s="35" t="s">
        <v>86</v>
      </c>
      <c r="C25" s="49">
        <v>2.8161126200000002</v>
      </c>
      <c r="D25" s="50">
        <v>1.9500727200000001</v>
      </c>
      <c r="E25" s="50">
        <v>1.93621888</v>
      </c>
      <c r="F25" s="50">
        <v>2.6606080999999993</v>
      </c>
      <c r="G25" s="50">
        <v>2.4578827400000001</v>
      </c>
      <c r="H25" s="50">
        <v>2.2648873100000002</v>
      </c>
      <c r="I25" s="50">
        <v>2.5239621400000001</v>
      </c>
      <c r="J25" s="50">
        <v>2.02511288</v>
      </c>
      <c r="K25" s="50">
        <v>2.00789156</v>
      </c>
      <c r="L25" s="50">
        <v>2.3793216299999997</v>
      </c>
      <c r="M25" s="50">
        <v>2.1659902799999999</v>
      </c>
      <c r="N25" s="51">
        <v>4.1352502400000004</v>
      </c>
      <c r="O25" s="19">
        <f t="shared" si="1"/>
        <v>29.323311100000002</v>
      </c>
    </row>
    <row r="26" spans="2:15">
      <c r="B26" s="35" t="s">
        <v>87</v>
      </c>
      <c r="C26" s="49">
        <v>5.83952706</v>
      </c>
      <c r="D26" s="50">
        <v>3.5453999600000001</v>
      </c>
      <c r="E26" s="50">
        <v>4.9871891000000002</v>
      </c>
      <c r="F26" s="50">
        <v>5.6061822200000009</v>
      </c>
      <c r="G26" s="50">
        <v>4.6253351700000005</v>
      </c>
      <c r="H26" s="50">
        <v>4.2450071099999995</v>
      </c>
      <c r="I26" s="50">
        <v>3.6429394900000003</v>
      </c>
      <c r="J26" s="50">
        <v>4.7342893399999992</v>
      </c>
      <c r="K26" s="50">
        <v>3.4322564000000004</v>
      </c>
      <c r="L26" s="50">
        <v>3.3807789600000002</v>
      </c>
      <c r="M26" s="50">
        <v>3.4847747</v>
      </c>
      <c r="N26" s="51">
        <v>9.4572942600000012</v>
      </c>
      <c r="O26" s="19">
        <f t="shared" si="1"/>
        <v>56.980973770000006</v>
      </c>
    </row>
    <row r="27" spans="2:15" ht="24.95" customHeight="1">
      <c r="B27" s="25" t="s">
        <v>88</v>
      </c>
      <c r="C27" s="33">
        <f>SUM(C28:C29)</f>
        <v>0.56850291999999991</v>
      </c>
      <c r="D27" s="34">
        <f t="shared" ref="D27:N27" si="5">SUM(D28:D29)</f>
        <v>2.1096998999999999</v>
      </c>
      <c r="E27" s="34">
        <f t="shared" si="5"/>
        <v>1.2138141999999998</v>
      </c>
      <c r="F27" s="34">
        <f t="shared" si="5"/>
        <v>2.6882714700000001</v>
      </c>
      <c r="G27" s="34">
        <f t="shared" si="5"/>
        <v>1.5666159899999996</v>
      </c>
      <c r="H27" s="34">
        <f t="shared" si="5"/>
        <v>3.1408209199999999</v>
      </c>
      <c r="I27" s="34">
        <f t="shared" si="5"/>
        <v>3.07968281</v>
      </c>
      <c r="J27" s="34">
        <f t="shared" si="5"/>
        <v>2.7837000000000001</v>
      </c>
      <c r="K27" s="34">
        <f t="shared" si="5"/>
        <v>0.90200000000000002</v>
      </c>
      <c r="L27" s="34">
        <f t="shared" si="5"/>
        <v>1.4678446199999997</v>
      </c>
      <c r="M27" s="34">
        <f t="shared" si="5"/>
        <v>4.0800569100000006</v>
      </c>
      <c r="N27" s="22">
        <f t="shared" si="5"/>
        <v>1.7106232700000001</v>
      </c>
      <c r="O27" s="22">
        <f t="shared" si="1"/>
        <v>25.311633009999998</v>
      </c>
    </row>
    <row r="28" spans="2:15">
      <c r="B28" s="35" t="s">
        <v>89</v>
      </c>
      <c r="C28" s="49"/>
      <c r="D28" s="50"/>
      <c r="E28" s="50"/>
      <c r="F28" s="50">
        <v>6.5859999999999998E-3</v>
      </c>
      <c r="G28" s="50"/>
      <c r="H28" s="50"/>
      <c r="I28" s="50"/>
      <c r="J28" s="50"/>
      <c r="K28" s="50"/>
      <c r="L28" s="50">
        <v>3.9680000000000002E-3</v>
      </c>
      <c r="M28" s="50"/>
      <c r="N28" s="51"/>
      <c r="O28" s="19">
        <f t="shared" si="1"/>
        <v>1.0554000000000001E-2</v>
      </c>
    </row>
    <row r="29" spans="2:15">
      <c r="B29" s="35" t="s">
        <v>90</v>
      </c>
      <c r="C29" s="49">
        <v>0.56850291999999991</v>
      </c>
      <c r="D29" s="50">
        <v>2.1096998999999999</v>
      </c>
      <c r="E29" s="50">
        <v>1.2138141999999998</v>
      </c>
      <c r="F29" s="50">
        <v>2.6816854700000001</v>
      </c>
      <c r="G29" s="50">
        <v>1.5666159899999996</v>
      </c>
      <c r="H29" s="50">
        <v>3.1408209199999999</v>
      </c>
      <c r="I29" s="50">
        <v>3.07968281</v>
      </c>
      <c r="J29" s="50">
        <v>2.7837000000000001</v>
      </c>
      <c r="K29" s="50">
        <v>0.90200000000000002</v>
      </c>
      <c r="L29" s="50">
        <v>1.4638766199999997</v>
      </c>
      <c r="M29" s="50">
        <v>4.0800569100000006</v>
      </c>
      <c r="N29" s="51">
        <v>1.7106232700000001</v>
      </c>
      <c r="O29" s="19">
        <f t="shared" si="1"/>
        <v>25.301079009999999</v>
      </c>
    </row>
    <row r="30" spans="2:15" ht="24.95" customHeight="1">
      <c r="B30" s="38" t="s">
        <v>91</v>
      </c>
      <c r="C30" s="39">
        <f>+C7+C27</f>
        <v>378.71774209</v>
      </c>
      <c r="D30" s="40">
        <f t="shared" ref="D30:N30" si="6">+D7+D27</f>
        <v>284.21652927000008</v>
      </c>
      <c r="E30" s="40">
        <f t="shared" si="6"/>
        <v>295.16385613</v>
      </c>
      <c r="F30" s="40">
        <f t="shared" si="6"/>
        <v>670.27512677000004</v>
      </c>
      <c r="G30" s="40">
        <f t="shared" si="6"/>
        <v>329.69258495999998</v>
      </c>
      <c r="H30" s="40">
        <f t="shared" si="6"/>
        <v>298.45277233000007</v>
      </c>
      <c r="I30" s="40">
        <f t="shared" si="6"/>
        <v>326.34078952000004</v>
      </c>
      <c r="J30" s="40">
        <f t="shared" si="6"/>
        <v>301.21185310000004</v>
      </c>
      <c r="K30" s="40">
        <f t="shared" si="6"/>
        <v>281.49737003999996</v>
      </c>
      <c r="L30" s="40">
        <f t="shared" si="6"/>
        <v>319.49714518000002</v>
      </c>
      <c r="M30" s="40">
        <f t="shared" si="6"/>
        <v>306.84636251999996</v>
      </c>
      <c r="N30" s="41">
        <f t="shared" si="6"/>
        <v>322.07372657999997</v>
      </c>
      <c r="O30" s="41">
        <f>SUM(C30:N30)</f>
        <v>4113.9858584900003</v>
      </c>
    </row>
    <row r="31" spans="2:15" ht="8.25" customHeight="1">
      <c r="B31" s="42"/>
      <c r="C31" s="36"/>
      <c r="D31" s="37"/>
      <c r="E31" s="37"/>
      <c r="F31" s="37"/>
      <c r="G31" s="37"/>
      <c r="H31" s="37"/>
      <c r="I31" s="37"/>
      <c r="J31" s="37"/>
      <c r="K31" s="37"/>
      <c r="L31" s="37"/>
      <c r="M31" s="37"/>
      <c r="N31" s="19"/>
      <c r="O31" s="19"/>
    </row>
    <row r="32" spans="2:15" ht="24.95" customHeight="1">
      <c r="B32" s="25" t="s">
        <v>92</v>
      </c>
      <c r="C32" s="33">
        <f>SUM(C33:C34)</f>
        <v>14.29521523</v>
      </c>
      <c r="D32" s="34">
        <f t="shared" ref="D32:N32" si="7">SUM(D33:D34)</f>
        <v>9.3437782200000008</v>
      </c>
      <c r="E32" s="34">
        <f t="shared" si="7"/>
        <v>12.406084310000001</v>
      </c>
      <c r="F32" s="34">
        <f t="shared" si="7"/>
        <v>18.705403330000003</v>
      </c>
      <c r="G32" s="34">
        <f t="shared" si="7"/>
        <v>18.092944840000001</v>
      </c>
      <c r="H32" s="34">
        <f t="shared" si="7"/>
        <v>15.38936137</v>
      </c>
      <c r="I32" s="34">
        <f t="shared" si="7"/>
        <v>16.635965810000002</v>
      </c>
      <c r="J32" s="34">
        <f t="shared" si="7"/>
        <v>18.562607870000001</v>
      </c>
      <c r="K32" s="34">
        <f t="shared" si="7"/>
        <v>17.499854899999999</v>
      </c>
      <c r="L32" s="34">
        <f t="shared" si="7"/>
        <v>19.349701070000002</v>
      </c>
      <c r="M32" s="34">
        <f t="shared" si="7"/>
        <v>20.760000980000001</v>
      </c>
      <c r="N32" s="22">
        <f t="shared" si="7"/>
        <v>16.794433559999998</v>
      </c>
      <c r="O32" s="22">
        <f>SUM(C32:N32)</f>
        <v>197.83535148999999</v>
      </c>
    </row>
    <row r="33" spans="2:15">
      <c r="B33" s="43" t="s">
        <v>93</v>
      </c>
      <c r="C33" s="49">
        <v>3.0348279900000001</v>
      </c>
      <c r="D33" s="50">
        <v>1.00551E-3</v>
      </c>
      <c r="E33" s="50">
        <v>0</v>
      </c>
      <c r="F33" s="50">
        <v>6.1615300000000001E-3</v>
      </c>
      <c r="G33" s="50">
        <v>3.5004640899999999</v>
      </c>
      <c r="H33" s="50">
        <v>5.0156714100000004</v>
      </c>
      <c r="I33" s="50">
        <v>5.2579798199999992</v>
      </c>
      <c r="J33" s="50">
        <v>5.0245120199999995</v>
      </c>
      <c r="K33" s="50">
        <v>3.8857697899999999</v>
      </c>
      <c r="L33" s="50">
        <v>0.59253912000000009</v>
      </c>
      <c r="M33" s="50">
        <v>0.33435227000000001</v>
      </c>
      <c r="N33" s="51">
        <v>0.2156594</v>
      </c>
      <c r="O33" s="19">
        <f>SUM(C33:N33)</f>
        <v>26.868942950000001</v>
      </c>
    </row>
    <row r="34" spans="2:15">
      <c r="B34" s="44" t="s">
        <v>94</v>
      </c>
      <c r="C34" s="52">
        <v>11.26038724</v>
      </c>
      <c r="D34" s="53">
        <v>9.3427727100000002</v>
      </c>
      <c r="E34" s="53">
        <v>12.406084310000001</v>
      </c>
      <c r="F34" s="53">
        <v>18.699241800000003</v>
      </c>
      <c r="G34" s="53">
        <v>14.59248075</v>
      </c>
      <c r="H34" s="53">
        <v>10.37368996</v>
      </c>
      <c r="I34" s="53">
        <v>11.377985990000001</v>
      </c>
      <c r="J34" s="53">
        <v>13.538095849999999</v>
      </c>
      <c r="K34" s="53">
        <v>13.61408511</v>
      </c>
      <c r="L34" s="53">
        <v>18.75716195</v>
      </c>
      <c r="M34" s="53">
        <v>20.425648710000001</v>
      </c>
      <c r="N34" s="54">
        <v>16.578774159999998</v>
      </c>
      <c r="O34" s="47">
        <f>SUM(C34:N34)</f>
        <v>170.96640854</v>
      </c>
    </row>
    <row r="35" spans="2:15">
      <c r="B35" s="48" t="s">
        <v>95</v>
      </c>
      <c r="C35" s="2"/>
      <c r="D35" s="2"/>
      <c r="E35" s="2"/>
      <c r="F35" s="2"/>
      <c r="G35" s="2"/>
      <c r="H35" s="2"/>
      <c r="I35" s="2"/>
      <c r="J35" s="2"/>
      <c r="K35" s="2"/>
      <c r="L35" s="2"/>
      <c r="M35" s="2"/>
      <c r="N35" s="2"/>
      <c r="O35" s="2"/>
    </row>
    <row r="36" spans="2:15">
      <c r="B36" s="48" t="s">
        <v>96</v>
      </c>
      <c r="C36" s="2"/>
      <c r="D36" s="2"/>
      <c r="E36" s="2"/>
      <c r="F36" s="2"/>
      <c r="G36" s="2"/>
      <c r="H36" s="2"/>
      <c r="I36" s="2"/>
      <c r="J36" s="2"/>
      <c r="K36" s="2"/>
      <c r="L36" s="2"/>
      <c r="M36" s="2"/>
      <c r="N36" s="2"/>
      <c r="O36" s="2"/>
    </row>
    <row r="37" spans="2:15">
      <c r="B37" s="48" t="s">
        <v>101</v>
      </c>
      <c r="C37" s="2"/>
      <c r="D37" s="2"/>
      <c r="E37" s="2"/>
      <c r="F37" s="2"/>
      <c r="G37" s="2"/>
      <c r="H37" s="2"/>
      <c r="I37" s="2"/>
      <c r="J37" s="2"/>
      <c r="K37" s="2"/>
      <c r="L37" s="2"/>
      <c r="M37" s="2"/>
      <c r="N37" s="2"/>
      <c r="O37" s="2"/>
    </row>
  </sheetData>
  <printOptions horizontalCentered="1"/>
  <pageMargins left="0.7" right="0.7" top="0.75" bottom="0.75" header="0.3" footer="0.3"/>
  <pageSetup scale="7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O37"/>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s>
  <sheetData>
    <row r="2" spans="2:15">
      <c r="B2" t="s">
        <v>18</v>
      </c>
    </row>
    <row r="3" spans="2:15">
      <c r="B3" t="s">
        <v>102</v>
      </c>
    </row>
    <row r="4" spans="2:15">
      <c r="B4" t="s">
        <v>19</v>
      </c>
    </row>
    <row r="6" spans="2:15"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2014</v>
      </c>
    </row>
    <row r="7" spans="2:15" ht="24.95" customHeight="1">
      <c r="B7" s="25" t="s">
        <v>71</v>
      </c>
      <c r="C7" s="33">
        <f>C8+C20</f>
        <v>375.59208662999987</v>
      </c>
      <c r="D7" s="34">
        <f>+D8+D20</f>
        <v>298.44938822</v>
      </c>
      <c r="E7" s="34">
        <f t="shared" ref="E7:M7" si="0">+E8+E20</f>
        <v>316.14748116999999</v>
      </c>
      <c r="F7" s="34">
        <f t="shared" si="0"/>
        <v>658.94682601999989</v>
      </c>
      <c r="G7" s="34">
        <f t="shared" si="0"/>
        <v>316.4254029299999</v>
      </c>
      <c r="H7" s="34">
        <f t="shared" si="0"/>
        <v>309.05420961999999</v>
      </c>
      <c r="I7" s="34">
        <f t="shared" si="0"/>
        <v>321.10658176999999</v>
      </c>
      <c r="J7" s="34">
        <f t="shared" si="0"/>
        <v>293.24438560999999</v>
      </c>
      <c r="K7" s="34">
        <f t="shared" si="0"/>
        <v>293.84108957000007</v>
      </c>
      <c r="L7" s="34">
        <f t="shared" si="0"/>
        <v>320.98247071999992</v>
      </c>
      <c r="M7" s="34">
        <f t="shared" si="0"/>
        <v>314.46075745000002</v>
      </c>
      <c r="N7" s="22">
        <f>+N8+N20</f>
        <v>319.45210882999993</v>
      </c>
      <c r="O7" s="22">
        <f t="shared" ref="O7:O29" si="1">SUM(C7:N7)</f>
        <v>4137.7027885400003</v>
      </c>
    </row>
    <row r="8" spans="2:15" ht="24.95" customHeight="1">
      <c r="B8" s="15" t="s">
        <v>72</v>
      </c>
      <c r="C8" s="33">
        <f>SUM(C9:C14)</f>
        <v>363.11323424999989</v>
      </c>
      <c r="D8" s="34">
        <f t="shared" ref="D8:N8" si="2">SUM(D9:D14)</f>
        <v>284.12125529000002</v>
      </c>
      <c r="E8" s="34">
        <f t="shared" si="2"/>
        <v>301.40839474000001</v>
      </c>
      <c r="F8" s="34">
        <f t="shared" si="2"/>
        <v>646.72542177999992</v>
      </c>
      <c r="G8" s="34">
        <f t="shared" si="2"/>
        <v>301.12249154999989</v>
      </c>
      <c r="H8" s="34">
        <f t="shared" si="2"/>
        <v>298.23669981</v>
      </c>
      <c r="I8" s="34">
        <f t="shared" si="2"/>
        <v>306.73803385999997</v>
      </c>
      <c r="J8" s="34">
        <f t="shared" si="2"/>
        <v>282.97127624000001</v>
      </c>
      <c r="K8" s="34">
        <f t="shared" si="2"/>
        <v>283.16589436000004</v>
      </c>
      <c r="L8" s="34">
        <f t="shared" si="2"/>
        <v>308.68872084999992</v>
      </c>
      <c r="M8" s="34">
        <f t="shared" si="2"/>
        <v>303.89821060000003</v>
      </c>
      <c r="N8" s="22">
        <f t="shared" si="2"/>
        <v>308.82659943999994</v>
      </c>
      <c r="O8" s="22">
        <f t="shared" si="1"/>
        <v>3989.0162327699991</v>
      </c>
    </row>
    <row r="9" spans="2:15">
      <c r="B9" s="35" t="s">
        <v>73</v>
      </c>
      <c r="C9" s="49">
        <v>175.72614558999999</v>
      </c>
      <c r="D9" s="50">
        <v>152.08641928999998</v>
      </c>
      <c r="E9" s="50">
        <v>157.23868465999999</v>
      </c>
      <c r="F9" s="50">
        <v>166.29634950999997</v>
      </c>
      <c r="G9" s="50">
        <v>162.91619180999999</v>
      </c>
      <c r="H9" s="50">
        <v>157.69435232000001</v>
      </c>
      <c r="I9" s="50">
        <v>161.40047264999998</v>
      </c>
      <c r="J9" s="50">
        <v>149.14924916000001</v>
      </c>
      <c r="K9" s="50">
        <v>150.54832891999999</v>
      </c>
      <c r="L9" s="50">
        <v>159.93636265999999</v>
      </c>
      <c r="M9" s="50">
        <v>155.38021273000001</v>
      </c>
      <c r="N9" s="51">
        <v>161.61550643999996</v>
      </c>
      <c r="O9" s="19">
        <f t="shared" si="1"/>
        <v>1909.9882757399998</v>
      </c>
    </row>
    <row r="10" spans="2:15">
      <c r="B10" s="35" t="s">
        <v>24</v>
      </c>
      <c r="C10" s="49">
        <v>140.37747153000001</v>
      </c>
      <c r="D10" s="50">
        <v>93.001322150000007</v>
      </c>
      <c r="E10" s="50">
        <v>104.36854461000001</v>
      </c>
      <c r="F10" s="50">
        <v>438.19977542999999</v>
      </c>
      <c r="G10" s="50">
        <v>93.412248660000003</v>
      </c>
      <c r="H10" s="50">
        <v>101.65151596</v>
      </c>
      <c r="I10" s="50">
        <v>102.37950438</v>
      </c>
      <c r="J10" s="50">
        <v>93.120312909999996</v>
      </c>
      <c r="K10" s="50">
        <v>91.165911710000003</v>
      </c>
      <c r="L10" s="50">
        <v>99.30548524000001</v>
      </c>
      <c r="M10" s="50">
        <v>96.931478630000015</v>
      </c>
      <c r="N10" s="51">
        <v>95.443484720000001</v>
      </c>
      <c r="O10" s="19">
        <f t="shared" si="1"/>
        <v>1549.3570559300001</v>
      </c>
    </row>
    <row r="11" spans="2:15">
      <c r="B11" s="35" t="s">
        <v>27</v>
      </c>
      <c r="C11" s="49">
        <v>14.285224019999999</v>
      </c>
      <c r="D11" s="50">
        <v>13.220642810000001</v>
      </c>
      <c r="E11" s="50">
        <v>14.182590739999998</v>
      </c>
      <c r="F11" s="50">
        <v>14.405383949999999</v>
      </c>
      <c r="G11" s="50">
        <v>14.91042041</v>
      </c>
      <c r="H11" s="50">
        <v>14.143982360000001</v>
      </c>
      <c r="I11" s="50">
        <v>16.281986979999999</v>
      </c>
      <c r="J11" s="50">
        <v>13.927571</v>
      </c>
      <c r="K11" s="50">
        <v>15.805106250000001</v>
      </c>
      <c r="L11" s="50">
        <v>17.63848754</v>
      </c>
      <c r="M11" s="50">
        <v>16.56884848</v>
      </c>
      <c r="N11" s="51">
        <v>15.912333650000001</v>
      </c>
      <c r="O11" s="19">
        <f t="shared" si="1"/>
        <v>181.28257818999998</v>
      </c>
    </row>
    <row r="12" spans="2:15">
      <c r="B12" s="35" t="s">
        <v>74</v>
      </c>
      <c r="C12" s="49">
        <v>13.760621950000001</v>
      </c>
      <c r="D12" s="50">
        <v>10.928058700000001</v>
      </c>
      <c r="E12" s="50">
        <v>11.04820187</v>
      </c>
      <c r="F12" s="50">
        <v>12.772178289999999</v>
      </c>
      <c r="G12" s="50">
        <v>15.00001174</v>
      </c>
      <c r="H12" s="50">
        <v>9.89680319</v>
      </c>
      <c r="I12" s="50">
        <v>11.811600969999999</v>
      </c>
      <c r="J12" s="50">
        <v>11.797923259999999</v>
      </c>
      <c r="K12" s="50">
        <v>11.554512219999999</v>
      </c>
      <c r="L12" s="50">
        <v>11.21692992</v>
      </c>
      <c r="M12" s="50">
        <v>14.723927270000001</v>
      </c>
      <c r="N12" s="51">
        <v>14.87676008</v>
      </c>
      <c r="O12" s="19">
        <f t="shared" si="1"/>
        <v>149.38752946</v>
      </c>
    </row>
    <row r="13" spans="2:15">
      <c r="B13" s="35" t="s">
        <v>75</v>
      </c>
      <c r="C13" s="49">
        <v>8.2067620099999985</v>
      </c>
      <c r="D13" s="50">
        <v>4.7984202100000006</v>
      </c>
      <c r="E13" s="50">
        <v>4.8877884099999998</v>
      </c>
      <c r="F13" s="50">
        <v>4.6092161099999993</v>
      </c>
      <c r="G13" s="50">
        <v>4.5139419200000006</v>
      </c>
      <c r="H13" s="50">
        <v>4.8620201600000001</v>
      </c>
      <c r="I13" s="50">
        <v>5.2481501399999999</v>
      </c>
      <c r="J13" s="50">
        <v>4.6339645200000001</v>
      </c>
      <c r="K13" s="50">
        <v>4.4570450300000006</v>
      </c>
      <c r="L13" s="50">
        <v>10.980690600000001</v>
      </c>
      <c r="M13" s="50">
        <v>10.454507620000001</v>
      </c>
      <c r="N13" s="51">
        <v>10.888093619999999</v>
      </c>
      <c r="O13" s="19">
        <f t="shared" si="1"/>
        <v>78.540600350000005</v>
      </c>
    </row>
    <row r="14" spans="2:15">
      <c r="B14" s="35" t="s">
        <v>76</v>
      </c>
      <c r="C14" s="49">
        <f>SUM(C15:C19)</f>
        <v>10.75700915</v>
      </c>
      <c r="D14" s="50">
        <f t="shared" ref="D14:N14" si="3">SUM(D15:D19)</f>
        <v>10.08639213</v>
      </c>
      <c r="E14" s="50">
        <f t="shared" si="3"/>
        <v>9.6825844500000002</v>
      </c>
      <c r="F14" s="50">
        <f t="shared" si="3"/>
        <v>10.442518489999999</v>
      </c>
      <c r="G14" s="50">
        <f t="shared" si="3"/>
        <v>10.36967701</v>
      </c>
      <c r="H14" s="50">
        <f t="shared" si="3"/>
        <v>9.9880258199999989</v>
      </c>
      <c r="I14" s="50">
        <f t="shared" si="3"/>
        <v>9.6163187399999988</v>
      </c>
      <c r="J14" s="50">
        <f t="shared" si="3"/>
        <v>10.342255390000002</v>
      </c>
      <c r="K14" s="50">
        <f t="shared" si="3"/>
        <v>9.6349902299999997</v>
      </c>
      <c r="L14" s="50">
        <f t="shared" si="3"/>
        <v>9.6107648900000004</v>
      </c>
      <c r="M14" s="50">
        <f t="shared" si="3"/>
        <v>9.8392358699999996</v>
      </c>
      <c r="N14" s="51">
        <f t="shared" si="3"/>
        <v>10.090420930000001</v>
      </c>
      <c r="O14" s="19">
        <f t="shared" si="1"/>
        <v>120.4601931</v>
      </c>
    </row>
    <row r="15" spans="2:15">
      <c r="B15" s="17" t="s">
        <v>77</v>
      </c>
      <c r="C15" s="49">
        <v>6.7487633599999999</v>
      </c>
      <c r="D15" s="50">
        <v>6.2372040900000005</v>
      </c>
      <c r="E15" s="50">
        <v>5.9595259599999997</v>
      </c>
      <c r="F15" s="50">
        <v>6.3862335199999993</v>
      </c>
      <c r="G15" s="50">
        <v>6.4682201299999997</v>
      </c>
      <c r="H15" s="50">
        <v>6.1736486299999997</v>
      </c>
      <c r="I15" s="50">
        <v>5.5904021399999992</v>
      </c>
      <c r="J15" s="50">
        <v>6.1379884200000001</v>
      </c>
      <c r="K15" s="50">
        <v>5.8644419299999999</v>
      </c>
      <c r="L15" s="50">
        <v>5.7523716599999997</v>
      </c>
      <c r="M15" s="50">
        <v>6.02145128</v>
      </c>
      <c r="N15" s="51">
        <v>6.21528203</v>
      </c>
      <c r="O15" s="19">
        <f t="shared" si="1"/>
        <v>73.555533150000002</v>
      </c>
    </row>
    <row r="16" spans="2:15">
      <c r="B16" s="17" t="s">
        <v>78</v>
      </c>
      <c r="C16" s="49">
        <v>0</v>
      </c>
      <c r="D16" s="50">
        <v>0</v>
      </c>
      <c r="E16" s="50">
        <v>0</v>
      </c>
      <c r="F16" s="50">
        <v>0</v>
      </c>
      <c r="G16" s="50">
        <v>0</v>
      </c>
      <c r="H16" s="50">
        <v>0</v>
      </c>
      <c r="I16" s="50">
        <v>0.33834052000000003</v>
      </c>
      <c r="J16" s="50">
        <v>0.36940194000000004</v>
      </c>
      <c r="K16" s="50">
        <v>0</v>
      </c>
      <c r="L16" s="50">
        <v>0.23584807999999999</v>
      </c>
      <c r="M16" s="50">
        <v>0</v>
      </c>
      <c r="N16" s="51">
        <v>0</v>
      </c>
      <c r="O16" s="19">
        <f t="shared" si="1"/>
        <v>0.94359054000000009</v>
      </c>
    </row>
    <row r="17" spans="2:15">
      <c r="B17" s="17" t="s">
        <v>79</v>
      </c>
      <c r="C17" s="49">
        <v>0.63271410000000006</v>
      </c>
      <c r="D17" s="50">
        <v>0.71348208000000002</v>
      </c>
      <c r="E17" s="50">
        <v>0.74139549999999999</v>
      </c>
      <c r="F17" s="50">
        <v>0.84581430999999996</v>
      </c>
      <c r="G17" s="50">
        <v>0.65031760999999999</v>
      </c>
      <c r="H17" s="50">
        <v>0.70985508000000008</v>
      </c>
      <c r="I17" s="50">
        <v>0.89006452000000003</v>
      </c>
      <c r="J17" s="50">
        <v>0.76427081000000008</v>
      </c>
      <c r="K17" s="50">
        <v>0.80569871999999998</v>
      </c>
      <c r="L17" s="50">
        <v>0.72214823000000017</v>
      </c>
      <c r="M17" s="50">
        <v>0.80535894999999991</v>
      </c>
      <c r="N17" s="51">
        <v>0.76434787999999998</v>
      </c>
      <c r="O17" s="19">
        <f t="shared" si="1"/>
        <v>9.04546779</v>
      </c>
    </row>
    <row r="18" spans="2:15">
      <c r="B18" s="17" t="s">
        <v>80</v>
      </c>
      <c r="C18" s="49">
        <v>3.3755316899999999</v>
      </c>
      <c r="D18" s="50">
        <v>3.1357059599999997</v>
      </c>
      <c r="E18" s="50">
        <v>2.9816629900000002</v>
      </c>
      <c r="F18" s="50">
        <v>3.2104706599999999</v>
      </c>
      <c r="G18" s="50">
        <v>3.2511392699999999</v>
      </c>
      <c r="H18" s="50">
        <v>3.10452211</v>
      </c>
      <c r="I18" s="50">
        <v>2.7975115599999998</v>
      </c>
      <c r="J18" s="50">
        <v>3.0705942200000003</v>
      </c>
      <c r="K18" s="50">
        <v>2.9648495800000001</v>
      </c>
      <c r="L18" s="50">
        <v>2.9003969199999999</v>
      </c>
      <c r="M18" s="50">
        <v>3.01242564</v>
      </c>
      <c r="N18" s="51">
        <v>3.1107910200000002</v>
      </c>
      <c r="O18" s="19">
        <f t="shared" si="1"/>
        <v>36.915601619999997</v>
      </c>
    </row>
    <row r="19" spans="2:15">
      <c r="B19" s="17" t="s">
        <v>48</v>
      </c>
      <c r="C19" s="49"/>
      <c r="D19" s="50"/>
      <c r="E19" s="50"/>
      <c r="F19" s="50"/>
      <c r="G19" s="50"/>
      <c r="H19" s="50"/>
      <c r="I19" s="50"/>
      <c r="J19" s="50"/>
      <c r="K19" s="50"/>
      <c r="L19" s="50"/>
      <c r="M19" s="50"/>
      <c r="N19" s="51"/>
      <c r="O19" s="19">
        <f t="shared" si="1"/>
        <v>0</v>
      </c>
    </row>
    <row r="20" spans="2:15" ht="24.95" customHeight="1">
      <c r="B20" s="15" t="s">
        <v>81</v>
      </c>
      <c r="C20" s="33">
        <f>SUM(C21:C26)</f>
        <v>12.478852379999999</v>
      </c>
      <c r="D20" s="34">
        <f t="shared" ref="D20:N20" si="4">SUM(D21:D26)</f>
        <v>14.328132929999999</v>
      </c>
      <c r="E20" s="34">
        <f t="shared" si="4"/>
        <v>14.73908643</v>
      </c>
      <c r="F20" s="34">
        <f t="shared" si="4"/>
        <v>12.221404239999998</v>
      </c>
      <c r="G20" s="34">
        <f t="shared" si="4"/>
        <v>15.302911379999999</v>
      </c>
      <c r="H20" s="34">
        <f t="shared" si="4"/>
        <v>10.817509810000001</v>
      </c>
      <c r="I20" s="34">
        <f t="shared" si="4"/>
        <v>14.36854791</v>
      </c>
      <c r="J20" s="34">
        <f t="shared" si="4"/>
        <v>10.27310937</v>
      </c>
      <c r="K20" s="34">
        <f t="shared" si="4"/>
        <v>10.67519521</v>
      </c>
      <c r="L20" s="34">
        <f t="shared" si="4"/>
        <v>12.293749869999999</v>
      </c>
      <c r="M20" s="34">
        <f t="shared" si="4"/>
        <v>10.56254685</v>
      </c>
      <c r="N20" s="22">
        <f t="shared" si="4"/>
        <v>10.625509390000001</v>
      </c>
      <c r="O20" s="22">
        <f t="shared" si="1"/>
        <v>148.68655576999998</v>
      </c>
    </row>
    <row r="21" spans="2:15">
      <c r="B21" s="35" t="s">
        <v>82</v>
      </c>
      <c r="C21" s="49">
        <v>0.28119905000000001</v>
      </c>
      <c r="D21" s="50">
        <v>0.16236042999999997</v>
      </c>
      <c r="E21" s="50">
        <v>0.12896879</v>
      </c>
      <c r="F21" s="50">
        <v>0.13509224</v>
      </c>
      <c r="G21" s="50">
        <v>0.14200795999999999</v>
      </c>
      <c r="H21" s="50">
        <v>0.29088666000000002</v>
      </c>
      <c r="I21" s="50">
        <v>0.26751046000000001</v>
      </c>
      <c r="J21" s="50">
        <v>0.15415482999999996</v>
      </c>
      <c r="K21" s="50">
        <v>0.7295751399999999</v>
      </c>
      <c r="L21" s="50">
        <v>0.12578340000000002</v>
      </c>
      <c r="M21" s="50">
        <v>0.11565229000000002</v>
      </c>
      <c r="N21" s="51">
        <v>0.28855673999999998</v>
      </c>
      <c r="O21" s="19">
        <f t="shared" si="1"/>
        <v>2.8217479899999995</v>
      </c>
    </row>
    <row r="22" spans="2:15">
      <c r="B22" s="35" t="s">
        <v>83</v>
      </c>
      <c r="C22" s="49">
        <v>0.35176647999999999</v>
      </c>
      <c r="D22" s="50">
        <v>0.15568167000000002</v>
      </c>
      <c r="E22" s="50">
        <v>0</v>
      </c>
      <c r="F22" s="50">
        <v>0</v>
      </c>
      <c r="G22" s="50">
        <v>2.2223868599999999</v>
      </c>
      <c r="H22" s="50">
        <v>7.4999999999999997E-2</v>
      </c>
      <c r="I22" s="50">
        <v>7.4999999999999997E-2</v>
      </c>
      <c r="J22" s="50">
        <v>0.1</v>
      </c>
      <c r="K22" s="50">
        <v>0.1</v>
      </c>
      <c r="L22" s="50">
        <v>0.1</v>
      </c>
      <c r="M22" s="50">
        <v>0.1</v>
      </c>
      <c r="N22" s="51">
        <v>0</v>
      </c>
      <c r="O22" s="19">
        <f t="shared" si="1"/>
        <v>3.2798350100000007</v>
      </c>
    </row>
    <row r="23" spans="2:15">
      <c r="B23" s="35" t="s">
        <v>84</v>
      </c>
      <c r="C23" s="49">
        <v>1.3360684599999999</v>
      </c>
      <c r="D23" s="50">
        <v>1.34279104</v>
      </c>
      <c r="E23" s="50">
        <v>1.2799121</v>
      </c>
      <c r="F23" s="50">
        <v>0.88582359000000011</v>
      </c>
      <c r="G23" s="50">
        <v>0.90472883000000015</v>
      </c>
      <c r="H23" s="50">
        <v>0.84394862000000004</v>
      </c>
      <c r="I23" s="50">
        <v>0.81639622999999995</v>
      </c>
      <c r="J23" s="50">
        <v>0.70666085999999995</v>
      </c>
      <c r="K23" s="50">
        <v>0.76468945999999993</v>
      </c>
      <c r="L23" s="50">
        <v>0.99812825999999999</v>
      </c>
      <c r="M23" s="50">
        <v>0.85316690000000006</v>
      </c>
      <c r="N23" s="51">
        <v>0.81524017000000004</v>
      </c>
      <c r="O23" s="19">
        <f t="shared" si="1"/>
        <v>11.547554519999998</v>
      </c>
    </row>
    <row r="24" spans="2:15">
      <c r="B24" s="35" t="s">
        <v>85</v>
      </c>
      <c r="C24" s="49">
        <v>3.7757237800000008</v>
      </c>
      <c r="D24" s="50">
        <v>3.6467357899999997</v>
      </c>
      <c r="E24" s="50">
        <v>3.78835802</v>
      </c>
      <c r="F24" s="50">
        <v>3.9338341799999998</v>
      </c>
      <c r="G24" s="50">
        <v>3.9267956200000005</v>
      </c>
      <c r="H24" s="50">
        <v>3.7476936200000002</v>
      </c>
      <c r="I24" s="50">
        <v>3.9813058899999998</v>
      </c>
      <c r="J24" s="50">
        <v>3.5025148499999998</v>
      </c>
      <c r="K24" s="50">
        <v>3.5365148000000004</v>
      </c>
      <c r="L24" s="50">
        <v>3.9391663500000003</v>
      </c>
      <c r="M24" s="50">
        <v>3.5449499900000001</v>
      </c>
      <c r="N24" s="51">
        <v>4.0023431</v>
      </c>
      <c r="O24" s="19">
        <f t="shared" si="1"/>
        <v>45.325935990000005</v>
      </c>
    </row>
    <row r="25" spans="2:15">
      <c r="B25" s="35" t="s">
        <v>86</v>
      </c>
      <c r="C25" s="49">
        <v>3.2975576099999997</v>
      </c>
      <c r="D25" s="50">
        <v>2.3699192899999999</v>
      </c>
      <c r="E25" s="50">
        <v>2.5870898900000001</v>
      </c>
      <c r="F25" s="50">
        <v>2.4511455699999996</v>
      </c>
      <c r="G25" s="50">
        <v>2.7355363399999995</v>
      </c>
      <c r="H25" s="50">
        <v>2.5595052199999997</v>
      </c>
      <c r="I25" s="50">
        <v>3.53784352</v>
      </c>
      <c r="J25" s="50">
        <v>2.7304182900000002</v>
      </c>
      <c r="K25" s="50">
        <v>1.6705937799999999</v>
      </c>
      <c r="L25" s="50">
        <v>1.7818872799999996</v>
      </c>
      <c r="M25" s="50">
        <v>1.8338248800000001</v>
      </c>
      <c r="N25" s="51">
        <v>2.2841991200000002</v>
      </c>
      <c r="O25" s="19">
        <f t="shared" si="1"/>
        <v>29.839520789999998</v>
      </c>
    </row>
    <row r="26" spans="2:15">
      <c r="B26" s="35" t="s">
        <v>87</v>
      </c>
      <c r="C26" s="49">
        <v>3.436537</v>
      </c>
      <c r="D26" s="50">
        <v>6.6506447100000008</v>
      </c>
      <c r="E26" s="50">
        <v>6.9547576299999996</v>
      </c>
      <c r="F26" s="50">
        <v>4.8155086599999999</v>
      </c>
      <c r="G26" s="50">
        <v>5.371455769999999</v>
      </c>
      <c r="H26" s="50">
        <v>3.3004756899999999</v>
      </c>
      <c r="I26" s="50">
        <v>5.6904918100000002</v>
      </c>
      <c r="J26" s="50">
        <v>3.0793605400000001</v>
      </c>
      <c r="K26" s="50">
        <v>3.8738220300000004</v>
      </c>
      <c r="L26" s="50">
        <v>5.3487845799999993</v>
      </c>
      <c r="M26" s="50">
        <v>4.1149527899999994</v>
      </c>
      <c r="N26" s="51">
        <v>3.2351702600000003</v>
      </c>
      <c r="O26" s="19">
        <f t="shared" si="1"/>
        <v>55.871961469999988</v>
      </c>
    </row>
    <row r="27" spans="2:15" ht="24.95" customHeight="1">
      <c r="B27" s="25" t="s">
        <v>88</v>
      </c>
      <c r="C27" s="33">
        <f>SUM(C28:C29)</f>
        <v>5.1000999999999991E-2</v>
      </c>
      <c r="D27" s="34">
        <f t="shared" ref="D27:N27" si="5">SUM(D28:D29)</f>
        <v>0.9227563700000001</v>
      </c>
      <c r="E27" s="34">
        <f t="shared" si="5"/>
        <v>1.7941185599999998</v>
      </c>
      <c r="F27" s="34">
        <f t="shared" si="5"/>
        <v>1.8598558000000001</v>
      </c>
      <c r="G27" s="34">
        <f t="shared" si="5"/>
        <v>0.72081162999999981</v>
      </c>
      <c r="H27" s="34">
        <f t="shared" si="5"/>
        <v>1.5624991400000003</v>
      </c>
      <c r="I27" s="34">
        <f t="shared" si="5"/>
        <v>0.58876485000000001</v>
      </c>
      <c r="J27" s="34">
        <f t="shared" si="5"/>
        <v>1.9726427599999998</v>
      </c>
      <c r="K27" s="34">
        <f t="shared" si="5"/>
        <v>0.38276000000000004</v>
      </c>
      <c r="L27" s="34">
        <f t="shared" si="5"/>
        <v>1.6813739999999999</v>
      </c>
      <c r="M27" s="34">
        <f t="shared" si="5"/>
        <v>0.68118836999999999</v>
      </c>
      <c r="N27" s="22">
        <f t="shared" si="5"/>
        <v>1.8471356700000003</v>
      </c>
      <c r="O27" s="22">
        <f t="shared" si="1"/>
        <v>14.064908149999999</v>
      </c>
    </row>
    <row r="28" spans="2:15">
      <c r="B28" s="35" t="s">
        <v>89</v>
      </c>
      <c r="C28" s="49">
        <v>0</v>
      </c>
      <c r="D28" s="50">
        <v>2.1772499999999999E-3</v>
      </c>
      <c r="E28" s="50">
        <v>0</v>
      </c>
      <c r="F28" s="50">
        <v>0</v>
      </c>
      <c r="G28" s="50">
        <v>1.253056E-2</v>
      </c>
      <c r="H28" s="50">
        <v>0</v>
      </c>
      <c r="I28" s="50">
        <v>0</v>
      </c>
      <c r="J28" s="50">
        <v>0</v>
      </c>
      <c r="K28" s="50">
        <v>1.24E-2</v>
      </c>
      <c r="L28" s="50">
        <v>9.5508799999999994E-3</v>
      </c>
      <c r="M28" s="50">
        <v>0</v>
      </c>
      <c r="N28" s="51">
        <v>1.6991E-4</v>
      </c>
      <c r="O28" s="19">
        <f t="shared" si="1"/>
        <v>3.6828600000000003E-2</v>
      </c>
    </row>
    <row r="29" spans="2:15">
      <c r="B29" s="35" t="s">
        <v>90</v>
      </c>
      <c r="C29" s="49">
        <v>5.1000999999999991E-2</v>
      </c>
      <c r="D29" s="50">
        <v>0.92057912000000008</v>
      </c>
      <c r="E29" s="50">
        <v>1.7941185599999998</v>
      </c>
      <c r="F29" s="50">
        <v>1.8598558000000001</v>
      </c>
      <c r="G29" s="50">
        <v>0.70828106999999985</v>
      </c>
      <c r="H29" s="50">
        <v>1.5624991400000003</v>
      </c>
      <c r="I29" s="50">
        <v>0.58876485000000001</v>
      </c>
      <c r="J29" s="50">
        <v>1.9726427599999998</v>
      </c>
      <c r="K29" s="50">
        <v>0.37036000000000002</v>
      </c>
      <c r="L29" s="50">
        <v>1.67182312</v>
      </c>
      <c r="M29" s="50">
        <v>0.68118836999999999</v>
      </c>
      <c r="N29" s="51">
        <v>1.8469657600000002</v>
      </c>
      <c r="O29" s="19">
        <f t="shared" si="1"/>
        <v>14.028079549999999</v>
      </c>
    </row>
    <row r="30" spans="2:15" ht="24.95" customHeight="1">
      <c r="B30" s="38" t="s">
        <v>91</v>
      </c>
      <c r="C30" s="39">
        <f>+C7+C27</f>
        <v>375.64308762999985</v>
      </c>
      <c r="D30" s="40">
        <f t="shared" ref="D30:N30" si="6">+D7+D27</f>
        <v>299.37214459</v>
      </c>
      <c r="E30" s="40">
        <f t="shared" si="6"/>
        <v>317.94159973000001</v>
      </c>
      <c r="F30" s="40">
        <f t="shared" si="6"/>
        <v>660.80668181999988</v>
      </c>
      <c r="G30" s="40">
        <f t="shared" si="6"/>
        <v>317.14621455999992</v>
      </c>
      <c r="H30" s="40">
        <f t="shared" si="6"/>
        <v>310.61670875999999</v>
      </c>
      <c r="I30" s="40">
        <f t="shared" si="6"/>
        <v>321.69534662000001</v>
      </c>
      <c r="J30" s="40">
        <f t="shared" si="6"/>
        <v>295.21702836999998</v>
      </c>
      <c r="K30" s="40">
        <f t="shared" si="6"/>
        <v>294.22384957000008</v>
      </c>
      <c r="L30" s="40">
        <f t="shared" si="6"/>
        <v>322.66384471999993</v>
      </c>
      <c r="M30" s="40">
        <f t="shared" si="6"/>
        <v>315.14194581999999</v>
      </c>
      <c r="N30" s="41">
        <f t="shared" si="6"/>
        <v>321.29924449999993</v>
      </c>
      <c r="O30" s="41">
        <f>SUM(C30:N30)</f>
        <v>4151.767696689999</v>
      </c>
    </row>
    <row r="31" spans="2:15" ht="8.25" customHeight="1">
      <c r="B31" s="42"/>
      <c r="C31" s="36"/>
      <c r="D31" s="37"/>
      <c r="E31" s="37"/>
      <c r="F31" s="37"/>
      <c r="G31" s="37"/>
      <c r="H31" s="37"/>
      <c r="I31" s="37"/>
      <c r="J31" s="37"/>
      <c r="K31" s="37"/>
      <c r="L31" s="37"/>
      <c r="M31" s="37"/>
      <c r="N31" s="19"/>
      <c r="O31" s="19"/>
    </row>
    <row r="32" spans="2:15" ht="24.95" customHeight="1">
      <c r="B32" s="25" t="s">
        <v>92</v>
      </c>
      <c r="C32" s="33">
        <f>SUM(C33:C34)</f>
        <v>20.158592720000001</v>
      </c>
      <c r="D32" s="34">
        <f t="shared" ref="D32:N32" si="7">SUM(D33:D34)</f>
        <v>15.19510945</v>
      </c>
      <c r="E32" s="34">
        <f t="shared" si="7"/>
        <v>16.021162690000001</v>
      </c>
      <c r="F32" s="34">
        <f t="shared" si="7"/>
        <v>23.85748126</v>
      </c>
      <c r="G32" s="34">
        <f t="shared" si="7"/>
        <v>11.922029640000002</v>
      </c>
      <c r="H32" s="34">
        <f t="shared" si="7"/>
        <v>18.890644630000001</v>
      </c>
      <c r="I32" s="34">
        <f t="shared" si="7"/>
        <v>20.159488189999998</v>
      </c>
      <c r="J32" s="34">
        <f t="shared" si="7"/>
        <v>16.70451241</v>
      </c>
      <c r="K32" s="34">
        <f t="shared" si="7"/>
        <v>19.902951270000003</v>
      </c>
      <c r="L32" s="34">
        <f t="shared" si="7"/>
        <v>19.53945796</v>
      </c>
      <c r="M32" s="34">
        <f t="shared" si="7"/>
        <v>20.180436929999999</v>
      </c>
      <c r="N32" s="22">
        <f t="shared" si="7"/>
        <v>15.06382666</v>
      </c>
      <c r="O32" s="22">
        <f>SUM(C32:N32)</f>
        <v>217.59569380999997</v>
      </c>
    </row>
    <row r="33" spans="2:15">
      <c r="B33" s="43" t="s">
        <v>93</v>
      </c>
      <c r="C33" s="49"/>
      <c r="D33" s="50"/>
      <c r="E33" s="50"/>
      <c r="F33" s="50">
        <v>0.54843852000000004</v>
      </c>
      <c r="G33" s="50">
        <v>2.9892368300000003</v>
      </c>
      <c r="H33" s="50">
        <v>4.7184848000000006</v>
      </c>
      <c r="I33" s="50">
        <v>7.2713361199999991</v>
      </c>
      <c r="J33" s="50">
        <v>4.0357828500000004</v>
      </c>
      <c r="K33" s="50">
        <v>5.4810574400000007</v>
      </c>
      <c r="L33" s="50">
        <v>2.0210389900000001</v>
      </c>
      <c r="M33" s="50">
        <v>0.45817039000000004</v>
      </c>
      <c r="N33" s="51">
        <v>0.46403382000000004</v>
      </c>
      <c r="O33" s="19">
        <f>SUM(C33:N33)</f>
        <v>27.987579760000003</v>
      </c>
    </row>
    <row r="34" spans="2:15">
      <c r="B34" s="44" t="s">
        <v>94</v>
      </c>
      <c r="C34" s="52">
        <v>20.158592720000001</v>
      </c>
      <c r="D34" s="53">
        <v>15.19510945</v>
      </c>
      <c r="E34" s="53">
        <v>16.021162690000001</v>
      </c>
      <c r="F34" s="53">
        <v>23.309042739999999</v>
      </c>
      <c r="G34" s="53">
        <v>8.9327928100000005</v>
      </c>
      <c r="H34" s="53">
        <v>14.17215983</v>
      </c>
      <c r="I34" s="53">
        <v>12.88815207</v>
      </c>
      <c r="J34" s="53">
        <v>12.668729560000001</v>
      </c>
      <c r="K34" s="53">
        <v>14.42189383</v>
      </c>
      <c r="L34" s="53">
        <v>17.518418969999999</v>
      </c>
      <c r="M34" s="53">
        <v>19.72226654</v>
      </c>
      <c r="N34" s="54">
        <v>14.599792839999999</v>
      </c>
      <c r="O34" s="47">
        <f>SUM(C34:N34)</f>
        <v>189.60811404999998</v>
      </c>
    </row>
    <row r="35" spans="2:15">
      <c r="B35" s="48" t="s">
        <v>95</v>
      </c>
      <c r="C35" s="2"/>
      <c r="D35" s="2"/>
      <c r="E35" s="2"/>
      <c r="F35" s="2"/>
      <c r="G35" s="2"/>
      <c r="H35" s="2"/>
      <c r="I35" s="2"/>
      <c r="J35" s="2"/>
      <c r="K35" s="2"/>
      <c r="L35" s="2"/>
      <c r="M35" s="2"/>
      <c r="N35" s="2"/>
      <c r="O35" s="2"/>
    </row>
    <row r="36" spans="2:15">
      <c r="B36" s="48" t="s">
        <v>96</v>
      </c>
      <c r="C36" s="2"/>
      <c r="D36" s="2"/>
      <c r="E36" s="2"/>
      <c r="F36" s="2"/>
      <c r="G36" s="2"/>
      <c r="H36" s="2"/>
      <c r="I36" s="2"/>
      <c r="J36" s="2"/>
      <c r="K36" s="2"/>
      <c r="L36" s="2"/>
      <c r="M36" s="2"/>
      <c r="N36" s="2"/>
      <c r="O36" s="2"/>
    </row>
    <row r="37" spans="2:15">
      <c r="B37" s="48" t="s">
        <v>103</v>
      </c>
      <c r="C37" s="2"/>
      <c r="D37" s="2"/>
      <c r="E37" s="2"/>
      <c r="F37" s="2"/>
      <c r="G37" s="2"/>
      <c r="H37" s="2"/>
      <c r="I37" s="2"/>
      <c r="J37" s="2"/>
      <c r="K37" s="2"/>
      <c r="L37" s="2"/>
      <c r="M37" s="2"/>
      <c r="N37" s="2"/>
      <c r="O37" s="2"/>
    </row>
  </sheetData>
  <printOptions horizontalCentered="1"/>
  <pageMargins left="0.7" right="0.7" top="0.75" bottom="0.75" header="0.3" footer="0.3"/>
  <pageSetup scale="7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E38"/>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 min="18" max="31" width="11.42578125" hidden="1" customWidth="1"/>
  </cols>
  <sheetData>
    <row r="2" spans="2:31">
      <c r="B2" t="s">
        <v>18</v>
      </c>
    </row>
    <row r="3" spans="2:31">
      <c r="B3" t="s">
        <v>104</v>
      </c>
    </row>
    <row r="4" spans="2:31">
      <c r="B4" t="s">
        <v>19</v>
      </c>
    </row>
    <row r="6" spans="2:31"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2015</v>
      </c>
    </row>
    <row r="7" spans="2:31" ht="24.95" customHeight="1">
      <c r="B7" s="25" t="s">
        <v>71</v>
      </c>
      <c r="C7" s="33">
        <f>C8+C21</f>
        <v>386.17120027000004</v>
      </c>
      <c r="D7" s="34">
        <f>+D8+D21</f>
        <v>307.11634917999993</v>
      </c>
      <c r="E7" s="34">
        <f t="shared" ref="E7:M7" si="0">+E8+E21</f>
        <v>354.64018960999994</v>
      </c>
      <c r="F7" s="34">
        <f t="shared" si="0"/>
        <v>623.78977465999992</v>
      </c>
      <c r="G7" s="34">
        <f t="shared" si="0"/>
        <v>320.16374474000008</v>
      </c>
      <c r="H7" s="34">
        <f t="shared" si="0"/>
        <v>329.40921778999996</v>
      </c>
      <c r="I7" s="34">
        <f t="shared" si="0"/>
        <v>346.09645293</v>
      </c>
      <c r="J7" s="34">
        <f t="shared" si="0"/>
        <v>312.09136927999992</v>
      </c>
      <c r="K7" s="34">
        <f t="shared" si="0"/>
        <v>311.64614746000001</v>
      </c>
      <c r="L7" s="34">
        <f t="shared" si="0"/>
        <v>334.83844543000004</v>
      </c>
      <c r="M7" s="34">
        <f t="shared" si="0"/>
        <v>329.00284593999993</v>
      </c>
      <c r="N7" s="22">
        <f>+N8+N21</f>
        <v>321.6974917</v>
      </c>
      <c r="O7" s="22">
        <f t="shared" ref="O7:O30" si="1">SUM(C7:N7)</f>
        <v>4276.6632289899999</v>
      </c>
    </row>
    <row r="8" spans="2:31" ht="24.95" customHeight="1">
      <c r="B8" s="15" t="s">
        <v>72</v>
      </c>
      <c r="C8" s="33">
        <f>SUM(C9:C14)</f>
        <v>372.36212893000004</v>
      </c>
      <c r="D8" s="34">
        <f t="shared" ref="D8:N8" si="2">SUM(D9:D14)</f>
        <v>295.01569513999993</v>
      </c>
      <c r="E8" s="34">
        <f t="shared" si="2"/>
        <v>336.37517924999992</v>
      </c>
      <c r="F8" s="34">
        <f t="shared" si="2"/>
        <v>612.01541556999996</v>
      </c>
      <c r="G8" s="34">
        <f t="shared" si="2"/>
        <v>307.48970990000009</v>
      </c>
      <c r="H8" s="34">
        <f t="shared" si="2"/>
        <v>317.35491260999999</v>
      </c>
      <c r="I8" s="34">
        <f t="shared" si="2"/>
        <v>332.96493251999999</v>
      </c>
      <c r="J8" s="34">
        <f t="shared" si="2"/>
        <v>300.48181272999994</v>
      </c>
      <c r="K8" s="34">
        <f t="shared" si="2"/>
        <v>300.08749508</v>
      </c>
      <c r="L8" s="34">
        <f t="shared" si="2"/>
        <v>320.70564437000002</v>
      </c>
      <c r="M8" s="34">
        <f t="shared" si="2"/>
        <v>314.02766611999994</v>
      </c>
      <c r="N8" s="22">
        <f t="shared" si="2"/>
        <v>309.17279704999999</v>
      </c>
      <c r="O8" s="22">
        <f t="shared" si="1"/>
        <v>4118.0533892699996</v>
      </c>
    </row>
    <row r="9" spans="2:31">
      <c r="B9" s="35" t="s">
        <v>73</v>
      </c>
      <c r="C9" s="49">
        <v>174.91172674000001</v>
      </c>
      <c r="D9" s="50">
        <v>154.11714856</v>
      </c>
      <c r="E9" s="50">
        <v>166.19029178999997</v>
      </c>
      <c r="F9" s="50">
        <v>161.98767756999999</v>
      </c>
      <c r="G9" s="50">
        <v>159.34782251000001</v>
      </c>
      <c r="H9" s="50">
        <v>161.98733694999999</v>
      </c>
      <c r="I9" s="50">
        <v>171.47081892</v>
      </c>
      <c r="J9" s="50">
        <v>151.55563520999999</v>
      </c>
      <c r="K9" s="50">
        <v>158.96496405000002</v>
      </c>
      <c r="L9" s="50">
        <v>157.26903590000001</v>
      </c>
      <c r="M9" s="50">
        <v>160.02747122999997</v>
      </c>
      <c r="N9" s="51">
        <v>156.49548999999999</v>
      </c>
      <c r="O9" s="19">
        <f t="shared" si="1"/>
        <v>1934.3254194299998</v>
      </c>
      <c r="R9" s="55"/>
      <c r="AE9" s="55"/>
    </row>
    <row r="10" spans="2:31">
      <c r="B10" s="35" t="s">
        <v>24</v>
      </c>
      <c r="C10" s="49">
        <v>146.44798342000001</v>
      </c>
      <c r="D10" s="50">
        <v>95.077050939999992</v>
      </c>
      <c r="E10" s="50">
        <v>119.79535907</v>
      </c>
      <c r="F10" s="50">
        <v>400.53077809000001</v>
      </c>
      <c r="G10" s="50">
        <v>98.73210370000001</v>
      </c>
      <c r="H10" s="50">
        <v>105.63636478000001</v>
      </c>
      <c r="I10" s="50">
        <v>111.07612369999998</v>
      </c>
      <c r="J10" s="50">
        <v>99.361204160000014</v>
      </c>
      <c r="K10" s="50">
        <v>91.480936839999998</v>
      </c>
      <c r="L10" s="50">
        <v>110.32697210999999</v>
      </c>
      <c r="M10" s="50">
        <v>98.230143949999984</v>
      </c>
      <c r="N10" s="51">
        <v>98.171847559999989</v>
      </c>
      <c r="O10" s="19">
        <f t="shared" si="1"/>
        <v>1574.8668683199999</v>
      </c>
      <c r="R10" t="s">
        <v>105</v>
      </c>
      <c r="S10">
        <v>1.4251966300000001</v>
      </c>
      <c r="T10">
        <v>1.6932956299999999</v>
      </c>
      <c r="U10">
        <v>1.6912111499999998</v>
      </c>
      <c r="V10">
        <v>1.3367965799999999</v>
      </c>
      <c r="W10">
        <v>1.7824532799999999</v>
      </c>
      <c r="X10">
        <v>1.88665295</v>
      </c>
      <c r="Y10">
        <v>1.80293813</v>
      </c>
      <c r="Z10">
        <v>1.3506707899999999</v>
      </c>
      <c r="AA10">
        <v>1.8113391399999998</v>
      </c>
      <c r="AB10">
        <v>1.86594584</v>
      </c>
      <c r="AC10">
        <v>1.65169247</v>
      </c>
      <c r="AD10">
        <v>2.1352589600000003</v>
      </c>
      <c r="AE10" s="55">
        <f>SUM(S10:AD10)</f>
        <v>20.433451550000001</v>
      </c>
    </row>
    <row r="11" spans="2:31">
      <c r="B11" s="35" t="s">
        <v>27</v>
      </c>
      <c r="C11" s="49">
        <v>14.00013818</v>
      </c>
      <c r="D11" s="50">
        <v>13.39907706</v>
      </c>
      <c r="E11" s="50">
        <v>15.926832119999998</v>
      </c>
      <c r="F11" s="50">
        <v>14.587532600000003</v>
      </c>
      <c r="G11" s="50">
        <v>15.317868619999999</v>
      </c>
      <c r="H11" s="50">
        <v>15.684532279999999</v>
      </c>
      <c r="I11" s="50">
        <v>16.497287879999998</v>
      </c>
      <c r="J11" s="50">
        <v>15.707485949999999</v>
      </c>
      <c r="K11" s="50">
        <v>16.952931029999998</v>
      </c>
      <c r="L11" s="50">
        <v>18.664667590000001</v>
      </c>
      <c r="M11" s="50">
        <v>19.257464989999995</v>
      </c>
      <c r="N11" s="51">
        <v>18.180003750000001</v>
      </c>
      <c r="O11" s="19">
        <f t="shared" si="1"/>
        <v>194.17582204999999</v>
      </c>
      <c r="R11" t="s">
        <v>106</v>
      </c>
      <c r="S11">
        <v>9.9044329200000014</v>
      </c>
      <c r="T11">
        <v>8.4709110099999982</v>
      </c>
      <c r="U11">
        <v>8.0644523800000023</v>
      </c>
      <c r="V11">
        <v>8.5026710800000007</v>
      </c>
      <c r="W11">
        <v>7.84470636</v>
      </c>
      <c r="X11">
        <v>8.0067834099999988</v>
      </c>
      <c r="Y11">
        <v>8.4216432300000008</v>
      </c>
      <c r="Z11">
        <v>8.46938134</v>
      </c>
      <c r="AA11">
        <v>7.4052905100000004</v>
      </c>
      <c r="AB11">
        <v>8.1399934399999996</v>
      </c>
      <c r="AC11">
        <v>8.1467110599999994</v>
      </c>
      <c r="AD11">
        <v>8.114719400000002</v>
      </c>
      <c r="AE11" s="55">
        <f>SUM(S11:AD11)</f>
        <v>99.491696140000002</v>
      </c>
    </row>
    <row r="12" spans="2:31">
      <c r="B12" s="35" t="s">
        <v>74</v>
      </c>
      <c r="C12" s="49">
        <v>14.18016456</v>
      </c>
      <c r="D12" s="50">
        <v>11.367216769999999</v>
      </c>
      <c r="E12" s="50">
        <v>13.93649995</v>
      </c>
      <c r="F12" s="50">
        <v>13.821361869999999</v>
      </c>
      <c r="G12" s="50">
        <v>13.509028580000003</v>
      </c>
      <c r="H12" s="50">
        <v>13.38870262</v>
      </c>
      <c r="I12" s="50">
        <v>13.1601465</v>
      </c>
      <c r="J12" s="50">
        <v>13.156478269999999</v>
      </c>
      <c r="K12" s="50">
        <v>13.147852479999999</v>
      </c>
      <c r="L12" s="50">
        <v>13.397478400000001</v>
      </c>
      <c r="M12" s="50">
        <v>15.229499880000001</v>
      </c>
      <c r="N12" s="51">
        <v>14.035491589999999</v>
      </c>
      <c r="O12" s="19">
        <f t="shared" si="1"/>
        <v>162.32992146999999</v>
      </c>
    </row>
    <row r="13" spans="2:31">
      <c r="B13" s="35" t="s">
        <v>75</v>
      </c>
      <c r="C13" s="49">
        <v>11.329629550000002</v>
      </c>
      <c r="D13" s="50">
        <v>10.164206639999998</v>
      </c>
      <c r="E13" s="50">
        <v>9.7556635300000014</v>
      </c>
      <c r="F13" s="50">
        <v>9.8394676600000004</v>
      </c>
      <c r="G13" s="50">
        <v>9.6271596400000004</v>
      </c>
      <c r="H13" s="50">
        <v>9.893436359999999</v>
      </c>
      <c r="I13" s="50">
        <v>10.22458136</v>
      </c>
      <c r="J13" s="50">
        <v>9.8200521300000005</v>
      </c>
      <c r="K13" s="50">
        <v>9.2166296499999998</v>
      </c>
      <c r="L13" s="50">
        <v>10.00593928</v>
      </c>
      <c r="M13" s="50">
        <v>9.7984035299999999</v>
      </c>
      <c r="N13" s="51">
        <v>10.249978360000002</v>
      </c>
      <c r="O13" s="19">
        <f t="shared" si="1"/>
        <v>119.92514768999999</v>
      </c>
      <c r="S13">
        <f>+S10+S11</f>
        <v>11.329629550000002</v>
      </c>
      <c r="T13">
        <f t="shared" ref="T13:AD13" si="3">+T10+T11</f>
        <v>10.164206639999998</v>
      </c>
      <c r="U13">
        <f t="shared" si="3"/>
        <v>9.7556635300000014</v>
      </c>
      <c r="V13">
        <f t="shared" si="3"/>
        <v>9.8394676600000004</v>
      </c>
      <c r="W13">
        <f t="shared" si="3"/>
        <v>9.6271596400000004</v>
      </c>
      <c r="X13">
        <f t="shared" si="3"/>
        <v>9.893436359999999</v>
      </c>
      <c r="Y13">
        <f t="shared" si="3"/>
        <v>10.22458136</v>
      </c>
      <c r="Z13">
        <f t="shared" si="3"/>
        <v>9.8200521300000005</v>
      </c>
      <c r="AA13">
        <f t="shared" si="3"/>
        <v>9.2166296499999998</v>
      </c>
      <c r="AB13">
        <f t="shared" si="3"/>
        <v>10.00593928</v>
      </c>
      <c r="AC13">
        <f t="shared" si="3"/>
        <v>9.7984035299999999</v>
      </c>
      <c r="AD13">
        <f t="shared" si="3"/>
        <v>10.249978360000002</v>
      </c>
      <c r="AE13" s="55">
        <f>SUM(S13:AD13)</f>
        <v>119.92514768999999</v>
      </c>
    </row>
    <row r="14" spans="2:31">
      <c r="B14" s="35" t="s">
        <v>76</v>
      </c>
      <c r="C14" s="49">
        <f>SUM(C15:C20)</f>
        <v>11.49248648</v>
      </c>
      <c r="D14" s="50">
        <f>SUM(D15:D20)</f>
        <v>10.89099517</v>
      </c>
      <c r="E14" s="50">
        <f t="shared" ref="E14:M14" si="4">SUM(E15:E20)</f>
        <v>10.770532790000001</v>
      </c>
      <c r="F14" s="50">
        <f t="shared" si="4"/>
        <v>11.248597779999999</v>
      </c>
      <c r="G14" s="50">
        <f t="shared" si="4"/>
        <v>10.95572685</v>
      </c>
      <c r="H14" s="50">
        <f t="shared" si="4"/>
        <v>10.764539620000001</v>
      </c>
      <c r="I14" s="50">
        <f t="shared" si="4"/>
        <v>10.53597416</v>
      </c>
      <c r="J14" s="50">
        <f t="shared" si="4"/>
        <v>10.880957010000001</v>
      </c>
      <c r="K14" s="50">
        <f t="shared" si="4"/>
        <v>10.32418103</v>
      </c>
      <c r="L14" s="50">
        <f t="shared" si="4"/>
        <v>11.041551089999999</v>
      </c>
      <c r="M14" s="50">
        <f t="shared" si="4"/>
        <v>11.48468254</v>
      </c>
      <c r="N14" s="51">
        <f>SUM(N15:N20)</f>
        <v>12.039985789999999</v>
      </c>
      <c r="O14" s="19">
        <f t="shared" si="1"/>
        <v>132.43021030999998</v>
      </c>
    </row>
    <row r="15" spans="2:31">
      <c r="B15" s="17" t="s">
        <v>77</v>
      </c>
      <c r="C15" s="49">
        <v>7.1638146999999996</v>
      </c>
      <c r="D15" s="50">
        <v>6.6694690899999998</v>
      </c>
      <c r="E15" s="50">
        <v>6.62973254</v>
      </c>
      <c r="F15" s="50">
        <v>6.7770026699999999</v>
      </c>
      <c r="G15" s="50">
        <v>6.7400160600000003</v>
      </c>
      <c r="H15" s="50">
        <v>6.5523433499999992</v>
      </c>
      <c r="I15" s="50">
        <v>6.3066437400000002</v>
      </c>
      <c r="J15" s="50">
        <v>6.6547934900000003</v>
      </c>
      <c r="K15" s="50">
        <v>6.3288034500000006</v>
      </c>
      <c r="L15" s="50">
        <v>6.6526533499999996</v>
      </c>
      <c r="M15" s="50">
        <v>6.7448982100000006</v>
      </c>
      <c r="N15" s="51">
        <v>6.4037380199999996</v>
      </c>
      <c r="O15" s="19">
        <f t="shared" si="1"/>
        <v>79.623908670000006</v>
      </c>
    </row>
    <row r="16" spans="2:31">
      <c r="B16" s="17" t="s">
        <v>78</v>
      </c>
      <c r="C16" s="49">
        <v>0.10544258999999999</v>
      </c>
      <c r="D16" s="50">
        <v>9.5362189999999999E-2</v>
      </c>
      <c r="E16" s="50"/>
      <c r="F16" s="50">
        <v>0.12524192000000001</v>
      </c>
      <c r="G16" s="50">
        <v>3.1887800000000001E-2</v>
      </c>
      <c r="H16" s="50">
        <v>4.3675029999999997E-2</v>
      </c>
      <c r="I16" s="50">
        <v>0.22901369999999999</v>
      </c>
      <c r="J16" s="50"/>
      <c r="K16" s="50"/>
      <c r="L16" s="50">
        <v>0.22901366000000001</v>
      </c>
      <c r="M16" s="50"/>
      <c r="N16" s="51"/>
      <c r="O16" s="19">
        <f t="shared" si="1"/>
        <v>0.8596368900000001</v>
      </c>
    </row>
    <row r="17" spans="2:15">
      <c r="B17" s="17" t="s">
        <v>79</v>
      </c>
      <c r="C17" s="49">
        <v>0.62952184000000011</v>
      </c>
      <c r="D17" s="50">
        <v>0.78932933999999999</v>
      </c>
      <c r="E17" s="50">
        <v>0.82168399000000003</v>
      </c>
      <c r="F17" s="50">
        <v>0.95525185999999995</v>
      </c>
      <c r="G17" s="50">
        <v>0.80811496000000005</v>
      </c>
      <c r="H17" s="50">
        <v>0.88889956999999997</v>
      </c>
      <c r="I17" s="50">
        <v>0.84214046000000009</v>
      </c>
      <c r="J17" s="50">
        <v>0.89441678000000002</v>
      </c>
      <c r="K17" s="50">
        <v>0.82747586000000006</v>
      </c>
      <c r="L17" s="50">
        <v>0.81005740000000004</v>
      </c>
      <c r="M17" s="50">
        <v>0.9338542700000001</v>
      </c>
      <c r="N17" s="51">
        <v>0.89351563000000001</v>
      </c>
      <c r="O17" s="19">
        <f t="shared" si="1"/>
        <v>10.094261960000001</v>
      </c>
    </row>
    <row r="18" spans="2:15">
      <c r="B18" s="17" t="s">
        <v>80</v>
      </c>
      <c r="C18" s="49">
        <v>3.5937073500000003</v>
      </c>
      <c r="D18" s="50">
        <v>3.3368345499999998</v>
      </c>
      <c r="E18" s="50">
        <v>3.3191162599999999</v>
      </c>
      <c r="F18" s="50">
        <v>3.3911013300000001</v>
      </c>
      <c r="G18" s="50">
        <v>3.3757080299999997</v>
      </c>
      <c r="H18" s="50">
        <v>3.27962167</v>
      </c>
      <c r="I18" s="50">
        <v>3.1581762599999998</v>
      </c>
      <c r="J18" s="50">
        <v>3.3317467400000003</v>
      </c>
      <c r="K18" s="50">
        <v>3.1679017200000001</v>
      </c>
      <c r="L18" s="50">
        <v>3.3498266800000001</v>
      </c>
      <c r="M18" s="50">
        <v>3.37460351</v>
      </c>
      <c r="N18" s="51">
        <v>3.2223690299999999</v>
      </c>
      <c r="O18" s="19">
        <f t="shared" si="1"/>
        <v>39.900713130000007</v>
      </c>
    </row>
    <row r="19" spans="2:15">
      <c r="B19" s="17" t="s">
        <v>48</v>
      </c>
      <c r="C19" s="49"/>
      <c r="D19" s="50"/>
      <c r="E19" s="50"/>
      <c r="F19" s="50"/>
      <c r="G19" s="50"/>
      <c r="H19" s="50"/>
      <c r="I19" s="50"/>
      <c r="J19" s="50"/>
      <c r="K19" s="50"/>
      <c r="L19" s="50"/>
      <c r="M19" s="50"/>
      <c r="N19" s="51"/>
      <c r="O19" s="19">
        <f t="shared" si="1"/>
        <v>0</v>
      </c>
    </row>
    <row r="20" spans="2:15">
      <c r="B20" s="17" t="s">
        <v>107</v>
      </c>
      <c r="C20" s="49"/>
      <c r="D20" s="50"/>
      <c r="E20" s="50"/>
      <c r="F20" s="50"/>
      <c r="G20" s="50"/>
      <c r="H20" s="50"/>
      <c r="I20" s="50"/>
      <c r="J20" s="50"/>
      <c r="K20" s="50"/>
      <c r="L20" s="50"/>
      <c r="M20" s="50">
        <v>0.43132655000000003</v>
      </c>
      <c r="N20" s="51">
        <v>1.5203631099999999</v>
      </c>
      <c r="O20" s="19">
        <f t="shared" si="1"/>
        <v>1.95168966</v>
      </c>
    </row>
    <row r="21" spans="2:15" ht="24.95" customHeight="1">
      <c r="B21" s="15" t="s">
        <v>81</v>
      </c>
      <c r="C21" s="33">
        <f>SUM(C22:C27)</f>
        <v>13.809071340000001</v>
      </c>
      <c r="D21" s="34">
        <f t="shared" ref="D21:N21" si="5">SUM(D22:D27)</f>
        <v>12.10065404</v>
      </c>
      <c r="E21" s="34">
        <f t="shared" si="5"/>
        <v>18.265010360000002</v>
      </c>
      <c r="F21" s="34">
        <f t="shared" si="5"/>
        <v>11.774359090000001</v>
      </c>
      <c r="G21" s="34">
        <f t="shared" si="5"/>
        <v>12.674034840000001</v>
      </c>
      <c r="H21" s="34">
        <f t="shared" si="5"/>
        <v>12.05430518</v>
      </c>
      <c r="I21" s="34">
        <f t="shared" si="5"/>
        <v>13.13152041</v>
      </c>
      <c r="J21" s="34">
        <f t="shared" si="5"/>
        <v>11.609556549999999</v>
      </c>
      <c r="K21" s="34">
        <f t="shared" si="5"/>
        <v>11.558652379999998</v>
      </c>
      <c r="L21" s="34">
        <f t="shared" si="5"/>
        <v>14.132801059999998</v>
      </c>
      <c r="M21" s="34">
        <f t="shared" si="5"/>
        <v>14.975179819999999</v>
      </c>
      <c r="N21" s="22">
        <f t="shared" si="5"/>
        <v>12.524694650000001</v>
      </c>
      <c r="O21" s="22">
        <f t="shared" si="1"/>
        <v>158.60983971999997</v>
      </c>
    </row>
    <row r="22" spans="2:15">
      <c r="B22" s="35" t="s">
        <v>82</v>
      </c>
      <c r="C22" s="49">
        <v>0.22871495999999999</v>
      </c>
      <c r="D22" s="50">
        <v>0.12681421000000001</v>
      </c>
      <c r="E22" s="50">
        <v>0.11353403000000001</v>
      </c>
      <c r="F22" s="50">
        <v>0.14282468999999998</v>
      </c>
      <c r="G22" s="50">
        <v>0.16130714000000002</v>
      </c>
      <c r="H22" s="50">
        <v>0.29399739999999996</v>
      </c>
      <c r="I22" s="50">
        <v>0.16402249999999999</v>
      </c>
      <c r="J22" s="50">
        <v>0.57264588000000005</v>
      </c>
      <c r="K22" s="50">
        <v>0.14177096999999997</v>
      </c>
      <c r="L22" s="50">
        <v>0.14121063</v>
      </c>
      <c r="M22" s="50">
        <v>0.13596602000000002</v>
      </c>
      <c r="N22" s="51">
        <v>0.23831762000000001</v>
      </c>
      <c r="O22" s="19">
        <f t="shared" si="1"/>
        <v>2.4611260500000003</v>
      </c>
    </row>
    <row r="23" spans="2:15">
      <c r="B23" s="35" t="s">
        <v>83</v>
      </c>
      <c r="C23" s="49">
        <v>0</v>
      </c>
      <c r="D23" s="50">
        <v>0</v>
      </c>
      <c r="E23" s="50">
        <v>0</v>
      </c>
      <c r="F23" s="50">
        <v>0</v>
      </c>
      <c r="G23" s="50">
        <v>0</v>
      </c>
      <c r="H23" s="50">
        <v>0</v>
      </c>
      <c r="I23" s="50">
        <v>0.55857653000000007</v>
      </c>
      <c r="J23" s="50">
        <v>0</v>
      </c>
      <c r="K23" s="50">
        <v>0</v>
      </c>
      <c r="L23" s="50">
        <v>0</v>
      </c>
      <c r="M23" s="50">
        <v>0</v>
      </c>
      <c r="N23" s="51">
        <v>0</v>
      </c>
      <c r="O23" s="19">
        <f t="shared" si="1"/>
        <v>0.55857653000000007</v>
      </c>
    </row>
    <row r="24" spans="2:15">
      <c r="B24" s="35" t="s">
        <v>84</v>
      </c>
      <c r="C24" s="49">
        <v>1.1037506399999999</v>
      </c>
      <c r="D24" s="50">
        <v>1.2891989700000002</v>
      </c>
      <c r="E24" s="50">
        <v>1.08289751</v>
      </c>
      <c r="F24" s="50">
        <v>1.0362852199999999</v>
      </c>
      <c r="G24" s="50">
        <v>0.85425558000000013</v>
      </c>
      <c r="H24" s="50">
        <v>0.92395775000000002</v>
      </c>
      <c r="I24" s="50">
        <v>0.97651542999999996</v>
      </c>
      <c r="J24" s="50">
        <v>0.84599197999999998</v>
      </c>
      <c r="K24" s="50">
        <v>0.86265844999999997</v>
      </c>
      <c r="L24" s="50">
        <v>0.94187061999999999</v>
      </c>
      <c r="M24" s="50">
        <v>0.84124224999999997</v>
      </c>
      <c r="N24" s="51">
        <v>0.81213379999999991</v>
      </c>
      <c r="O24" s="19">
        <f t="shared" si="1"/>
        <v>11.5707582</v>
      </c>
    </row>
    <row r="25" spans="2:15">
      <c r="B25" s="35" t="s">
        <v>85</v>
      </c>
      <c r="C25" s="49">
        <v>4.2954686300000002</v>
      </c>
      <c r="D25" s="50">
        <v>3.82810462</v>
      </c>
      <c r="E25" s="50">
        <v>4.9041320199999996</v>
      </c>
      <c r="F25" s="50">
        <v>4.3415095500000005</v>
      </c>
      <c r="G25" s="50">
        <v>4.1789834500000005</v>
      </c>
      <c r="H25" s="50">
        <v>4.1877894999999992</v>
      </c>
      <c r="I25" s="50">
        <v>4.2991845800000004</v>
      </c>
      <c r="J25" s="50">
        <v>4.2252421599999996</v>
      </c>
      <c r="K25" s="50">
        <v>3.9390698599999996</v>
      </c>
      <c r="L25" s="50">
        <v>4.3652776099999997</v>
      </c>
      <c r="M25" s="50">
        <v>4.0281734599999997</v>
      </c>
      <c r="N25" s="51">
        <v>4.1853007600000005</v>
      </c>
      <c r="O25" s="19">
        <f t="shared" si="1"/>
        <v>50.778236199999995</v>
      </c>
    </row>
    <row r="26" spans="2:15">
      <c r="B26" s="35" t="s">
        <v>86</v>
      </c>
      <c r="C26" s="49">
        <v>4.1677302900000006</v>
      </c>
      <c r="D26" s="50">
        <v>2.6264557800000001</v>
      </c>
      <c r="E26" s="50">
        <v>2.11176056</v>
      </c>
      <c r="F26" s="50">
        <v>2.2390197299999999</v>
      </c>
      <c r="G26" s="50">
        <v>2.7246578099999996</v>
      </c>
      <c r="H26" s="50">
        <v>2.6523623600000006</v>
      </c>
      <c r="I26" s="50">
        <v>2.6099593400000001</v>
      </c>
      <c r="J26" s="50">
        <v>2.5171677999999997</v>
      </c>
      <c r="K26" s="50">
        <v>2.5905520099999997</v>
      </c>
      <c r="L26" s="50">
        <v>3.0621020899999998</v>
      </c>
      <c r="M26" s="50">
        <v>2.6663213900000002</v>
      </c>
      <c r="N26" s="51">
        <v>3.0723099999999999</v>
      </c>
      <c r="O26" s="19">
        <f t="shared" si="1"/>
        <v>33.04039916</v>
      </c>
    </row>
    <row r="27" spans="2:15">
      <c r="B27" s="35" t="s">
        <v>87</v>
      </c>
      <c r="C27" s="49">
        <v>4.0134068200000002</v>
      </c>
      <c r="D27" s="50">
        <v>4.2300804599999999</v>
      </c>
      <c r="E27" s="50">
        <v>10.052686240000002</v>
      </c>
      <c r="F27" s="50">
        <v>4.0147199000000002</v>
      </c>
      <c r="G27" s="50">
        <v>4.7548308600000002</v>
      </c>
      <c r="H27" s="50">
        <v>3.9961981700000004</v>
      </c>
      <c r="I27" s="50">
        <v>4.5232620299999997</v>
      </c>
      <c r="J27" s="50">
        <v>3.4485087299999999</v>
      </c>
      <c r="K27" s="50">
        <v>4.02460109</v>
      </c>
      <c r="L27" s="50">
        <v>5.6223401099999988</v>
      </c>
      <c r="M27" s="50">
        <v>7.3034766999999992</v>
      </c>
      <c r="N27" s="51">
        <v>4.2166324699999995</v>
      </c>
      <c r="O27" s="19">
        <f t="shared" si="1"/>
        <v>60.200743579999994</v>
      </c>
    </row>
    <row r="28" spans="2:15" ht="24.95" customHeight="1">
      <c r="B28" s="25" t="s">
        <v>88</v>
      </c>
      <c r="C28" s="33">
        <f>SUM(C29:C30)</f>
        <v>0.53256870000000001</v>
      </c>
      <c r="D28" s="34">
        <f t="shared" ref="D28:N28" si="6">SUM(D29:D30)</f>
        <v>2.8566444600000001</v>
      </c>
      <c r="E28" s="34">
        <f t="shared" si="6"/>
        <v>3.6800589500000003</v>
      </c>
      <c r="F28" s="34">
        <f t="shared" si="6"/>
        <v>1.6516235299999997</v>
      </c>
      <c r="G28" s="34">
        <f t="shared" si="6"/>
        <v>1.6895218700000005</v>
      </c>
      <c r="H28" s="34">
        <f t="shared" si="6"/>
        <v>1.9577289900000006</v>
      </c>
      <c r="I28" s="34">
        <f t="shared" si="6"/>
        <v>2.2680400699999996</v>
      </c>
      <c r="J28" s="34">
        <f t="shared" si="6"/>
        <v>1.06787586</v>
      </c>
      <c r="K28" s="34">
        <f t="shared" si="6"/>
        <v>2.37072649</v>
      </c>
      <c r="L28" s="34">
        <f t="shared" si="6"/>
        <v>2.1184404800000003</v>
      </c>
      <c r="M28" s="34">
        <f t="shared" si="6"/>
        <v>2.0426293200000001</v>
      </c>
      <c r="N28" s="22">
        <f t="shared" si="6"/>
        <v>3.5746154499999996</v>
      </c>
      <c r="O28" s="22">
        <f t="shared" si="1"/>
        <v>25.810474169999999</v>
      </c>
    </row>
    <row r="29" spans="2:15">
      <c r="B29" s="35" t="s">
        <v>89</v>
      </c>
      <c r="C29" s="49"/>
      <c r="D29" s="50"/>
      <c r="E29" s="50"/>
      <c r="F29" s="50"/>
      <c r="G29" s="50"/>
      <c r="H29" s="50"/>
      <c r="I29" s="50"/>
      <c r="J29" s="50"/>
      <c r="K29" s="50"/>
      <c r="L29" s="50"/>
      <c r="M29" s="50"/>
      <c r="N29" s="51"/>
      <c r="O29" s="19">
        <f t="shared" si="1"/>
        <v>0</v>
      </c>
    </row>
    <row r="30" spans="2:15">
      <c r="B30" s="35" t="s">
        <v>90</v>
      </c>
      <c r="C30" s="49">
        <v>0.53256870000000001</v>
      </c>
      <c r="D30" s="50">
        <v>2.8566444600000001</v>
      </c>
      <c r="E30" s="50">
        <v>3.6800589500000003</v>
      </c>
      <c r="F30" s="50">
        <v>1.6516235299999997</v>
      </c>
      <c r="G30" s="50">
        <v>1.6895218700000005</v>
      </c>
      <c r="H30" s="50">
        <v>1.9577289900000006</v>
      </c>
      <c r="I30" s="50">
        <v>2.2680400699999996</v>
      </c>
      <c r="J30" s="50">
        <v>1.06787586</v>
      </c>
      <c r="K30" s="50">
        <v>2.37072649</v>
      </c>
      <c r="L30" s="50">
        <v>2.1184404800000003</v>
      </c>
      <c r="M30" s="50">
        <v>2.0426293200000001</v>
      </c>
      <c r="N30" s="51">
        <v>3.5746154499999996</v>
      </c>
      <c r="O30" s="19">
        <f t="shared" si="1"/>
        <v>25.810474169999999</v>
      </c>
    </row>
    <row r="31" spans="2:15" ht="24.95" customHeight="1">
      <c r="B31" s="38" t="s">
        <v>91</v>
      </c>
      <c r="C31" s="39">
        <f>+C7+C28</f>
        <v>386.70376897000006</v>
      </c>
      <c r="D31" s="40">
        <f t="shared" ref="D31:N31" si="7">+D7+D28</f>
        <v>309.97299363999991</v>
      </c>
      <c r="E31" s="40">
        <f t="shared" si="7"/>
        <v>358.32024855999992</v>
      </c>
      <c r="F31" s="40">
        <f t="shared" si="7"/>
        <v>625.44139818999997</v>
      </c>
      <c r="G31" s="40">
        <f t="shared" si="7"/>
        <v>321.85326661000011</v>
      </c>
      <c r="H31" s="40">
        <f t="shared" si="7"/>
        <v>331.36694677999998</v>
      </c>
      <c r="I31" s="40">
        <f t="shared" si="7"/>
        <v>348.36449299999998</v>
      </c>
      <c r="J31" s="40">
        <f t="shared" si="7"/>
        <v>313.15924513999994</v>
      </c>
      <c r="K31" s="40">
        <f t="shared" si="7"/>
        <v>314.01687394999999</v>
      </c>
      <c r="L31" s="40">
        <f t="shared" si="7"/>
        <v>336.95688591000004</v>
      </c>
      <c r="M31" s="40">
        <f t="shared" si="7"/>
        <v>331.04547525999993</v>
      </c>
      <c r="N31" s="41">
        <f t="shared" si="7"/>
        <v>325.27210715000001</v>
      </c>
      <c r="O31" s="41">
        <f>SUM(C31:N31)</f>
        <v>4302.4737031599998</v>
      </c>
    </row>
    <row r="32" spans="2:15" ht="8.25" customHeight="1">
      <c r="B32" s="42"/>
      <c r="C32" s="36"/>
      <c r="D32" s="37"/>
      <c r="E32" s="37"/>
      <c r="F32" s="37"/>
      <c r="G32" s="37"/>
      <c r="H32" s="37"/>
      <c r="I32" s="37"/>
      <c r="J32" s="37"/>
      <c r="K32" s="37"/>
      <c r="L32" s="37"/>
      <c r="M32" s="37"/>
      <c r="N32" s="19"/>
      <c r="O32" s="19"/>
    </row>
    <row r="33" spans="2:15" ht="24.95" customHeight="1">
      <c r="B33" s="25" t="s">
        <v>92</v>
      </c>
      <c r="C33" s="33">
        <f>SUM(C34:C35)</f>
        <v>17.740788850000001</v>
      </c>
      <c r="D33" s="34">
        <f t="shared" ref="D33:N33" si="8">SUM(D34:D35)</f>
        <v>11.441159000000001</v>
      </c>
      <c r="E33" s="34">
        <f t="shared" si="8"/>
        <v>11.99971225</v>
      </c>
      <c r="F33" s="34">
        <f t="shared" si="8"/>
        <v>22.25056451</v>
      </c>
      <c r="G33" s="34">
        <f t="shared" si="8"/>
        <v>17.737121559999999</v>
      </c>
      <c r="H33" s="34">
        <f t="shared" si="8"/>
        <v>21.110695509999999</v>
      </c>
      <c r="I33" s="34">
        <f t="shared" si="8"/>
        <v>17.12662315</v>
      </c>
      <c r="J33" s="34">
        <f t="shared" si="8"/>
        <v>19.54074911</v>
      </c>
      <c r="K33" s="34">
        <f t="shared" si="8"/>
        <v>16.435445469999998</v>
      </c>
      <c r="L33" s="34">
        <f t="shared" si="8"/>
        <v>19.732901210000005</v>
      </c>
      <c r="M33" s="34">
        <f t="shared" si="8"/>
        <v>16.89204733</v>
      </c>
      <c r="N33" s="22">
        <f t="shared" si="8"/>
        <v>8.5144430199999999</v>
      </c>
      <c r="O33" s="22">
        <f>SUM(C33:N33)</f>
        <v>200.52225096999999</v>
      </c>
    </row>
    <row r="34" spans="2:15">
      <c r="B34" s="43" t="s">
        <v>93</v>
      </c>
      <c r="C34" s="49">
        <v>0</v>
      </c>
      <c r="D34" s="50">
        <v>0</v>
      </c>
      <c r="E34" s="50">
        <v>0</v>
      </c>
      <c r="F34" s="50">
        <v>0</v>
      </c>
      <c r="G34" s="50">
        <v>6.5076518100000005</v>
      </c>
      <c r="H34" s="50">
        <v>6.6851769000000001</v>
      </c>
      <c r="I34" s="50">
        <v>5.60168204</v>
      </c>
      <c r="J34" s="50">
        <v>4.47853616</v>
      </c>
      <c r="K34" s="50">
        <v>4.9652845699999997</v>
      </c>
      <c r="L34" s="50">
        <v>1.31087142</v>
      </c>
      <c r="M34" s="50">
        <v>0.28583226</v>
      </c>
      <c r="N34" s="51">
        <v>3.7969699999999998E-3</v>
      </c>
      <c r="O34" s="19">
        <f>SUM(C34:N34)</f>
        <v>29.83883213</v>
      </c>
    </row>
    <row r="35" spans="2:15">
      <c r="B35" s="44" t="s">
        <v>94</v>
      </c>
      <c r="C35" s="52">
        <v>17.740788850000001</v>
      </c>
      <c r="D35" s="53">
        <v>11.441159000000001</v>
      </c>
      <c r="E35" s="53">
        <v>11.99971225</v>
      </c>
      <c r="F35" s="53">
        <v>22.25056451</v>
      </c>
      <c r="G35" s="53">
        <v>11.22946975</v>
      </c>
      <c r="H35" s="53">
        <v>14.425518609999999</v>
      </c>
      <c r="I35" s="53">
        <v>11.52494111</v>
      </c>
      <c r="J35" s="53">
        <v>15.062212950000001</v>
      </c>
      <c r="K35" s="53">
        <v>11.4701609</v>
      </c>
      <c r="L35" s="53">
        <v>18.422029790000003</v>
      </c>
      <c r="M35" s="53">
        <v>16.606215070000001</v>
      </c>
      <c r="N35" s="54">
        <v>8.5106460500000001</v>
      </c>
      <c r="O35" s="47">
        <f>SUM(C35:N35)</f>
        <v>170.68341884</v>
      </c>
    </row>
    <row r="36" spans="2:15">
      <c r="B36" s="767" t="s">
        <v>95</v>
      </c>
      <c r="C36" s="767"/>
      <c r="D36" s="767"/>
      <c r="E36" s="767"/>
      <c r="F36" s="767"/>
      <c r="G36" s="767"/>
      <c r="H36" s="767"/>
      <c r="I36" s="767"/>
      <c r="J36" s="767"/>
      <c r="K36" s="767"/>
      <c r="L36" s="767"/>
      <c r="M36" s="767"/>
      <c r="N36" s="767"/>
      <c r="O36" s="767"/>
    </row>
    <row r="37" spans="2:15">
      <c r="B37" s="48" t="s">
        <v>694</v>
      </c>
      <c r="C37" s="2"/>
      <c r="D37" s="2"/>
      <c r="E37" s="2"/>
      <c r="F37" s="2"/>
      <c r="G37" s="2"/>
      <c r="H37" s="2"/>
      <c r="I37" s="2"/>
      <c r="J37" s="2"/>
      <c r="K37" s="2"/>
      <c r="L37" s="2"/>
      <c r="M37" s="2"/>
      <c r="N37" s="2"/>
      <c r="O37" s="2"/>
    </row>
    <row r="38" spans="2:15">
      <c r="B38" s="768" t="s">
        <v>108</v>
      </c>
      <c r="C38" s="768"/>
      <c r="D38" s="768"/>
      <c r="E38" s="768"/>
      <c r="F38" s="768"/>
      <c r="G38" s="768"/>
      <c r="H38" s="768"/>
      <c r="I38" s="768"/>
      <c r="J38" s="768"/>
      <c r="K38" s="768"/>
      <c r="L38" s="768"/>
      <c r="M38" s="768"/>
      <c r="N38" s="768"/>
      <c r="O38" s="768"/>
    </row>
  </sheetData>
  <mergeCells count="2">
    <mergeCell ref="B36:O36"/>
    <mergeCell ref="B38:O38"/>
  </mergeCells>
  <printOptions horizontalCentered="1"/>
  <pageMargins left="0.7" right="0.7" top="0.75" bottom="0.75" header="0.3" footer="0.3"/>
  <pageSetup scale="7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E41"/>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 min="18" max="31" width="11.42578125" hidden="1" customWidth="1"/>
  </cols>
  <sheetData>
    <row r="2" spans="2:31">
      <c r="B2" t="s">
        <v>18</v>
      </c>
    </row>
    <row r="3" spans="2:31">
      <c r="B3" t="s">
        <v>109</v>
      </c>
      <c r="C3" s="9"/>
      <c r="D3" s="9"/>
      <c r="E3" s="9"/>
      <c r="F3" s="9"/>
      <c r="G3" s="9"/>
      <c r="H3" s="9"/>
      <c r="I3" s="9"/>
      <c r="J3" s="9"/>
      <c r="K3" s="9"/>
      <c r="L3" s="9"/>
      <c r="M3" s="9"/>
      <c r="N3" s="9"/>
    </row>
    <row r="4" spans="2:31">
      <c r="B4" t="s">
        <v>19</v>
      </c>
      <c r="C4" s="9"/>
      <c r="D4" s="9"/>
      <c r="E4" s="9"/>
      <c r="F4" s="9"/>
      <c r="G4" s="9"/>
      <c r="H4" s="9"/>
      <c r="I4" s="9"/>
      <c r="J4" s="9"/>
      <c r="K4" s="9"/>
      <c r="L4" s="9"/>
      <c r="M4" s="9"/>
      <c r="N4" s="9"/>
    </row>
    <row r="6" spans="2:31"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2016</v>
      </c>
    </row>
    <row r="7" spans="2:31" ht="24.95" customHeight="1">
      <c r="B7" s="25" t="s">
        <v>71</v>
      </c>
      <c r="C7" s="33">
        <f>C8+C22</f>
        <v>397.65376279000009</v>
      </c>
      <c r="D7" s="34">
        <f>+D8+D22</f>
        <v>312.10703799000004</v>
      </c>
      <c r="E7" s="34">
        <f t="shared" ref="E7:M7" si="0">+E8+E22</f>
        <v>336.47787262000008</v>
      </c>
      <c r="F7" s="34">
        <f t="shared" si="0"/>
        <v>597.04349964999994</v>
      </c>
      <c r="G7" s="34">
        <f t="shared" si="0"/>
        <v>432.82385907000003</v>
      </c>
      <c r="H7" s="34">
        <f t="shared" si="0"/>
        <v>332.23951853000005</v>
      </c>
      <c r="I7" s="34">
        <f t="shared" si="0"/>
        <v>340.78183109999998</v>
      </c>
      <c r="J7" s="34">
        <f t="shared" si="0"/>
        <v>318.77975956999995</v>
      </c>
      <c r="K7" s="34">
        <f t="shared" si="0"/>
        <v>316.34873371000003</v>
      </c>
      <c r="L7" s="34">
        <f t="shared" si="0"/>
        <v>336.25335932999997</v>
      </c>
      <c r="M7" s="34">
        <f t="shared" si="0"/>
        <v>343.87948128000005</v>
      </c>
      <c r="N7" s="22">
        <f>+N8+N22</f>
        <v>347.24579999999997</v>
      </c>
      <c r="O7" s="22">
        <f t="shared" ref="O7:O31" si="1">SUM(C7:N7)</f>
        <v>4411.6345156400002</v>
      </c>
    </row>
    <row r="8" spans="2:31" ht="24.95" customHeight="1">
      <c r="B8" s="15" t="s">
        <v>72</v>
      </c>
      <c r="C8" s="33">
        <f>SUM(C9:C14)</f>
        <v>384.90385033000007</v>
      </c>
      <c r="D8" s="34">
        <f t="shared" ref="D8:N8" si="2">SUM(D9:D14)</f>
        <v>300.67889889000003</v>
      </c>
      <c r="E8" s="34">
        <f t="shared" si="2"/>
        <v>319.15738912000006</v>
      </c>
      <c r="F8" s="34">
        <f t="shared" si="2"/>
        <v>583.19444894999992</v>
      </c>
      <c r="G8" s="34">
        <f t="shared" si="2"/>
        <v>415.23252654000004</v>
      </c>
      <c r="H8" s="34">
        <f t="shared" si="2"/>
        <v>319.46003714000005</v>
      </c>
      <c r="I8" s="34">
        <f t="shared" si="2"/>
        <v>325.90390287999998</v>
      </c>
      <c r="J8" s="34">
        <f t="shared" si="2"/>
        <v>306.11691968999997</v>
      </c>
      <c r="K8" s="34">
        <f t="shared" si="2"/>
        <v>302.32861056000002</v>
      </c>
      <c r="L8" s="34">
        <f t="shared" si="2"/>
        <v>322.79087347999996</v>
      </c>
      <c r="M8" s="34">
        <f t="shared" si="2"/>
        <v>328.41742537000005</v>
      </c>
      <c r="N8" s="22">
        <f t="shared" si="2"/>
        <v>329.80869999999999</v>
      </c>
      <c r="O8" s="22">
        <f t="shared" si="1"/>
        <v>4237.9935829499991</v>
      </c>
    </row>
    <row r="9" spans="2:31">
      <c r="B9" s="35" t="s">
        <v>73</v>
      </c>
      <c r="C9" s="49">
        <v>169.79857504</v>
      </c>
      <c r="D9" s="50">
        <v>148.74339177000002</v>
      </c>
      <c r="E9" s="50">
        <v>150.97010962000002</v>
      </c>
      <c r="F9" s="50">
        <v>155.14791015999998</v>
      </c>
      <c r="G9" s="50">
        <v>157.37734012999999</v>
      </c>
      <c r="H9" s="50">
        <v>156.40820042000001</v>
      </c>
      <c r="I9" s="50">
        <v>151.06637677999998</v>
      </c>
      <c r="J9" s="50">
        <v>147.05058097</v>
      </c>
      <c r="K9" s="50">
        <v>146.64878637000001</v>
      </c>
      <c r="L9" s="50">
        <v>150.50393409999998</v>
      </c>
      <c r="M9" s="50">
        <v>160.28192431000002</v>
      </c>
      <c r="N9" s="51">
        <v>159.8794</v>
      </c>
      <c r="O9" s="19">
        <f t="shared" si="1"/>
        <v>1853.8765296699999</v>
      </c>
      <c r="R9" s="55"/>
      <c r="AE9" s="55"/>
    </row>
    <row r="10" spans="2:31">
      <c r="B10" s="35" t="s">
        <v>24</v>
      </c>
      <c r="C10" s="49">
        <v>157.63810093999999</v>
      </c>
      <c r="D10" s="50">
        <v>100.64852741</v>
      </c>
      <c r="E10" s="50">
        <v>112.00220845</v>
      </c>
      <c r="F10" s="50">
        <v>366.11707106</v>
      </c>
      <c r="G10" s="50">
        <v>199.98603888</v>
      </c>
      <c r="H10" s="50">
        <v>104.08683105</v>
      </c>
      <c r="I10" s="50">
        <v>119.16330428000001</v>
      </c>
      <c r="J10" s="50">
        <v>101.14314924</v>
      </c>
      <c r="K10" s="50">
        <v>98.824311800000004</v>
      </c>
      <c r="L10" s="50">
        <v>113.938625</v>
      </c>
      <c r="M10" s="50">
        <v>106.57191564000001</v>
      </c>
      <c r="N10" s="51">
        <v>109.63660000000002</v>
      </c>
      <c r="O10" s="19">
        <f t="shared" si="1"/>
        <v>1689.7566837500001</v>
      </c>
      <c r="R10" t="s">
        <v>105</v>
      </c>
      <c r="S10">
        <v>1.3415598099999999</v>
      </c>
      <c r="T10">
        <v>1.83436501</v>
      </c>
      <c r="U10">
        <v>1.6044792299999999</v>
      </c>
      <c r="V10">
        <v>1.77467292</v>
      </c>
      <c r="W10">
        <v>1.5889</v>
      </c>
      <c r="X10">
        <v>2.6756225300000001</v>
      </c>
      <c r="Y10">
        <v>1.88868116</v>
      </c>
      <c r="Z10">
        <v>1.76655564</v>
      </c>
      <c r="AA10">
        <v>1.70862811</v>
      </c>
      <c r="AB10">
        <v>2.7578030299999998</v>
      </c>
      <c r="AC10">
        <v>1.71131612</v>
      </c>
      <c r="AD10">
        <v>2.0127999999999999</v>
      </c>
      <c r="AE10" s="55">
        <f>SUM(S10:AD10)</f>
        <v>22.665383559999995</v>
      </c>
    </row>
    <row r="11" spans="2:31">
      <c r="B11" s="35" t="s">
        <v>27</v>
      </c>
      <c r="C11" s="49">
        <v>14.85141205</v>
      </c>
      <c r="D11" s="50">
        <v>15.44215473</v>
      </c>
      <c r="E11" s="50">
        <v>16.813181839999999</v>
      </c>
      <c r="F11" s="50">
        <v>16.286166890000001</v>
      </c>
      <c r="G11" s="50">
        <v>17.023859130000002</v>
      </c>
      <c r="H11" s="50">
        <v>16.42593433</v>
      </c>
      <c r="I11" s="50">
        <v>17.134514540000001</v>
      </c>
      <c r="J11" s="50">
        <v>17.82413683</v>
      </c>
      <c r="K11" s="50">
        <v>17.419276960000001</v>
      </c>
      <c r="L11" s="50">
        <v>18.283190210000001</v>
      </c>
      <c r="M11" s="50">
        <v>19.79860437</v>
      </c>
      <c r="N11" s="51">
        <v>19.172899999999998</v>
      </c>
      <c r="O11" s="19">
        <f t="shared" si="1"/>
        <v>206.47533188</v>
      </c>
      <c r="R11" t="s">
        <v>106</v>
      </c>
      <c r="S11">
        <v>9.768190409999999</v>
      </c>
      <c r="T11">
        <v>8.1515465099999993</v>
      </c>
      <c r="U11">
        <v>7.9208403399999989</v>
      </c>
      <c r="V11">
        <v>7.8456092000000002</v>
      </c>
      <c r="W11">
        <v>8.5823058999999997</v>
      </c>
      <c r="X11">
        <v>8.2712833400000001</v>
      </c>
      <c r="Y11">
        <v>8.4398699599999993</v>
      </c>
      <c r="Z11">
        <v>8.3408334600000007</v>
      </c>
      <c r="AA11">
        <v>7.9648104700000006</v>
      </c>
      <c r="AB11">
        <v>8.1330092799999996</v>
      </c>
      <c r="AC11">
        <v>8.1046082300000002</v>
      </c>
      <c r="AD11">
        <v>8.1111000000000004</v>
      </c>
      <c r="AE11" s="55">
        <f>SUM(S11:AD11)</f>
        <v>99.634007099999991</v>
      </c>
    </row>
    <row r="12" spans="2:31">
      <c r="B12" s="35" t="s">
        <v>74</v>
      </c>
      <c r="C12" s="49">
        <v>16.813595100000001</v>
      </c>
      <c r="D12" s="50">
        <v>11.512991670000003</v>
      </c>
      <c r="E12" s="50">
        <v>13.428721900000001</v>
      </c>
      <c r="F12" s="50">
        <v>14.60117894</v>
      </c>
      <c r="G12" s="50">
        <v>12.48973717</v>
      </c>
      <c r="H12" s="50">
        <v>15.700917409999999</v>
      </c>
      <c r="I12" s="50">
        <v>12.70650769</v>
      </c>
      <c r="J12" s="50">
        <v>14.417141830000002</v>
      </c>
      <c r="K12" s="50">
        <v>13.13816671</v>
      </c>
      <c r="L12" s="50">
        <v>13.76346543</v>
      </c>
      <c r="M12" s="50">
        <v>15.61492473</v>
      </c>
      <c r="N12" s="51">
        <v>15.964499999999999</v>
      </c>
      <c r="O12" s="19">
        <f t="shared" si="1"/>
        <v>170.15184858000001</v>
      </c>
    </row>
    <row r="13" spans="2:31">
      <c r="B13" s="35" t="s">
        <v>75</v>
      </c>
      <c r="C13" s="49">
        <v>11.109750219999999</v>
      </c>
      <c r="D13" s="50">
        <v>9.9859115200000002</v>
      </c>
      <c r="E13" s="50">
        <v>9.5253195699999988</v>
      </c>
      <c r="F13" s="50">
        <v>9.6202821200000006</v>
      </c>
      <c r="G13" s="50">
        <v>10.1712059</v>
      </c>
      <c r="H13" s="50">
        <v>10.94690587</v>
      </c>
      <c r="I13" s="50">
        <v>10.32855112</v>
      </c>
      <c r="J13" s="50">
        <v>10.107389100000001</v>
      </c>
      <c r="K13" s="50">
        <v>9.6734385800000009</v>
      </c>
      <c r="L13" s="50">
        <v>10.890812309999999</v>
      </c>
      <c r="M13" s="50">
        <v>9.8159243499999995</v>
      </c>
      <c r="N13" s="51">
        <v>10.123900000000001</v>
      </c>
      <c r="O13" s="19">
        <f t="shared" si="1"/>
        <v>122.29939066000001</v>
      </c>
      <c r="S13">
        <f>+S10+S11</f>
        <v>11.109750219999999</v>
      </c>
      <c r="T13">
        <f t="shared" ref="T13:AD13" si="3">+T10+T11</f>
        <v>9.9859115199999984</v>
      </c>
      <c r="U13">
        <f t="shared" si="3"/>
        <v>9.5253195699999988</v>
      </c>
      <c r="V13">
        <f t="shared" si="3"/>
        <v>9.6202821200000006</v>
      </c>
      <c r="W13">
        <f t="shared" si="3"/>
        <v>10.1712059</v>
      </c>
      <c r="X13">
        <f t="shared" si="3"/>
        <v>10.94690587</v>
      </c>
      <c r="Y13">
        <f t="shared" si="3"/>
        <v>10.32855112</v>
      </c>
      <c r="Z13">
        <f t="shared" si="3"/>
        <v>10.107389100000001</v>
      </c>
      <c r="AA13">
        <f t="shared" si="3"/>
        <v>9.6734385800000009</v>
      </c>
      <c r="AB13">
        <f t="shared" si="3"/>
        <v>10.890812309999999</v>
      </c>
      <c r="AC13">
        <f t="shared" si="3"/>
        <v>9.8159243499999995</v>
      </c>
      <c r="AD13">
        <f t="shared" si="3"/>
        <v>10.123900000000001</v>
      </c>
      <c r="AE13" s="55">
        <f>SUM(S13:AD13)</f>
        <v>122.29939066000001</v>
      </c>
    </row>
    <row r="14" spans="2:31">
      <c r="B14" s="35" t="s">
        <v>76</v>
      </c>
      <c r="C14" s="49">
        <f>SUM(C15:C21)</f>
        <v>14.692416980000001</v>
      </c>
      <c r="D14" s="50">
        <f t="shared" ref="D14:N14" si="4">SUM(D15:D21)</f>
        <v>14.34592179</v>
      </c>
      <c r="E14" s="50">
        <f t="shared" si="4"/>
        <v>16.417847739999999</v>
      </c>
      <c r="F14" s="50">
        <f t="shared" si="4"/>
        <v>21.421839780000003</v>
      </c>
      <c r="G14" s="50">
        <f t="shared" si="4"/>
        <v>18.184345329999999</v>
      </c>
      <c r="H14" s="50">
        <f t="shared" si="4"/>
        <v>15.891248060000001</v>
      </c>
      <c r="I14" s="50">
        <f t="shared" si="4"/>
        <v>15.504648469999999</v>
      </c>
      <c r="J14" s="50">
        <f t="shared" si="4"/>
        <v>15.57452172</v>
      </c>
      <c r="K14" s="50">
        <f t="shared" si="4"/>
        <v>16.624630140000001</v>
      </c>
      <c r="L14" s="50">
        <f t="shared" si="4"/>
        <v>15.410846430000001</v>
      </c>
      <c r="M14" s="50">
        <f t="shared" si="4"/>
        <v>16.334131969999998</v>
      </c>
      <c r="N14" s="51">
        <f t="shared" si="4"/>
        <v>15.031400000000001</v>
      </c>
      <c r="O14" s="19">
        <f t="shared" si="1"/>
        <v>195.43379840999998</v>
      </c>
    </row>
    <row r="15" spans="2:31">
      <c r="B15" s="17" t="s">
        <v>77</v>
      </c>
      <c r="C15" s="49">
        <v>7.6050000000000004</v>
      </c>
      <c r="D15" s="50">
        <v>6.7756919499999997</v>
      </c>
      <c r="E15" s="50">
        <v>7.15687271</v>
      </c>
      <c r="F15" s="50">
        <v>7.5294166000000002</v>
      </c>
      <c r="G15" s="50">
        <v>7.2296079500000001</v>
      </c>
      <c r="H15" s="50">
        <v>7.1554499900000001</v>
      </c>
      <c r="I15" s="50">
        <v>6.8187656099999998</v>
      </c>
      <c r="J15" s="50">
        <v>6.9550493099999997</v>
      </c>
      <c r="K15" s="50">
        <v>7.4499000000000004</v>
      </c>
      <c r="L15" s="50">
        <v>6.6389550000000002</v>
      </c>
      <c r="M15" s="50">
        <v>7.1355315800000003</v>
      </c>
      <c r="N15" s="51">
        <v>7.1055999999999999</v>
      </c>
      <c r="O15" s="19">
        <f t="shared" si="1"/>
        <v>85.555840700000005</v>
      </c>
    </row>
    <row r="16" spans="2:31">
      <c r="B16" s="17" t="s">
        <v>78</v>
      </c>
      <c r="C16" s="49"/>
      <c r="D16" s="50">
        <v>1.0762799999999999E-2</v>
      </c>
      <c r="E16" s="50">
        <v>0.10753124999999999</v>
      </c>
      <c r="F16" s="50">
        <v>0.25670625000000002</v>
      </c>
      <c r="G16" s="50"/>
      <c r="H16" s="50"/>
      <c r="I16" s="50">
        <v>0.1988683</v>
      </c>
      <c r="J16" s="50"/>
      <c r="K16" s="50"/>
      <c r="L16" s="50">
        <v>0.14580077</v>
      </c>
      <c r="M16" s="50">
        <v>5.3067509999999998E-2</v>
      </c>
      <c r="N16" s="51"/>
      <c r="O16" s="19">
        <f t="shared" si="1"/>
        <v>0.77273687999999996</v>
      </c>
    </row>
    <row r="17" spans="2:15">
      <c r="B17" s="17" t="s">
        <v>79</v>
      </c>
      <c r="C17" s="49">
        <v>0.68205534000000001</v>
      </c>
      <c r="D17" s="50">
        <v>0.81258406999999999</v>
      </c>
      <c r="E17" s="50">
        <v>0.90439506999999997</v>
      </c>
      <c r="F17" s="50">
        <v>0.87678328999999999</v>
      </c>
      <c r="G17" s="50">
        <v>0.98385199999999995</v>
      </c>
      <c r="H17" s="50">
        <v>0.84852923000000002</v>
      </c>
      <c r="I17" s="50">
        <v>0.90207300999999995</v>
      </c>
      <c r="J17" s="50">
        <v>0.92294350999999997</v>
      </c>
      <c r="K17" s="50">
        <v>0.90374054000000004</v>
      </c>
      <c r="L17" s="50">
        <v>0.87209623000000003</v>
      </c>
      <c r="M17" s="50">
        <v>0.92857471000000003</v>
      </c>
      <c r="N17" s="51">
        <v>0.871</v>
      </c>
      <c r="O17" s="19">
        <f t="shared" si="1"/>
        <v>10.508627000000001</v>
      </c>
    </row>
    <row r="18" spans="2:15">
      <c r="B18" s="17" t="s">
        <v>80</v>
      </c>
      <c r="C18" s="49">
        <v>3.8064123300000001</v>
      </c>
      <c r="D18" s="50">
        <v>3.4239959600000001</v>
      </c>
      <c r="E18" s="50">
        <v>3.5814863899999998</v>
      </c>
      <c r="F18" s="50">
        <v>3.7928208300000001</v>
      </c>
      <c r="G18" s="50">
        <v>3.6181039799999999</v>
      </c>
      <c r="H18" s="50">
        <v>3.6141996600000001</v>
      </c>
      <c r="I18" s="50">
        <v>3.4131828</v>
      </c>
      <c r="J18" s="50">
        <v>3.49497466</v>
      </c>
      <c r="K18" s="50">
        <v>3.7605</v>
      </c>
      <c r="L18" s="50">
        <v>3.3221775</v>
      </c>
      <c r="M18" s="50">
        <v>3.6054512500000002</v>
      </c>
      <c r="N18" s="51">
        <v>3.5781000000000001</v>
      </c>
      <c r="O18" s="19">
        <f t="shared" si="1"/>
        <v>43.011405360000005</v>
      </c>
    </row>
    <row r="19" spans="2:15">
      <c r="B19" s="17" t="s">
        <v>48</v>
      </c>
      <c r="C19" s="49"/>
      <c r="D19" s="50"/>
      <c r="E19" s="50"/>
      <c r="F19" s="50"/>
      <c r="G19" s="50"/>
      <c r="H19" s="50"/>
      <c r="I19" s="50"/>
      <c r="J19" s="50"/>
      <c r="K19" s="50"/>
      <c r="L19" s="50"/>
      <c r="M19" s="50"/>
      <c r="N19" s="51"/>
      <c r="O19" s="19">
        <f t="shared" si="1"/>
        <v>0</v>
      </c>
    </row>
    <row r="20" spans="2:15">
      <c r="B20" s="17" t="s">
        <v>110</v>
      </c>
      <c r="C20" s="49">
        <v>2.5989493100000001</v>
      </c>
      <c r="D20" s="50">
        <v>3.3228870100000001</v>
      </c>
      <c r="E20" s="50">
        <v>4.66756232</v>
      </c>
      <c r="F20" s="50">
        <v>4.3263552900000004</v>
      </c>
      <c r="G20" s="50">
        <v>4.0120110699999998</v>
      </c>
      <c r="H20" s="50">
        <v>4.2275531700000002</v>
      </c>
      <c r="I20" s="50">
        <v>4.1566838500000003</v>
      </c>
      <c r="J20" s="50">
        <v>4.2015091599999996</v>
      </c>
      <c r="K20" s="50">
        <v>4.5104895999999997</v>
      </c>
      <c r="L20" s="50">
        <v>4.4318169300000001</v>
      </c>
      <c r="M20" s="50">
        <v>4.6084512499999999</v>
      </c>
      <c r="N20" s="51">
        <v>3.4746999999999999</v>
      </c>
      <c r="O20" s="19">
        <f t="shared" si="1"/>
        <v>48.538968960000005</v>
      </c>
    </row>
    <row r="21" spans="2:15">
      <c r="B21" s="17" t="s">
        <v>111</v>
      </c>
      <c r="C21" s="49"/>
      <c r="D21" s="50"/>
      <c r="E21" s="50"/>
      <c r="F21" s="50">
        <v>4.6397575199999999</v>
      </c>
      <c r="G21" s="50">
        <v>2.3407703299999998</v>
      </c>
      <c r="H21" s="50">
        <v>4.5516010000000003E-2</v>
      </c>
      <c r="I21" s="50">
        <v>1.50749E-2</v>
      </c>
      <c r="J21" s="50">
        <v>4.5080000000000002E-5</v>
      </c>
      <c r="K21" s="50"/>
      <c r="L21" s="50"/>
      <c r="M21" s="50">
        <v>3.0556699999999999E-3</v>
      </c>
      <c r="N21" s="51">
        <v>2E-3</v>
      </c>
      <c r="O21" s="19">
        <f t="shared" si="1"/>
        <v>7.0462195099999994</v>
      </c>
    </row>
    <row r="22" spans="2:15" ht="24.95" customHeight="1">
      <c r="B22" s="15" t="s">
        <v>81</v>
      </c>
      <c r="C22" s="33">
        <f>SUM(C23:C28)</f>
        <v>12.749912460000001</v>
      </c>
      <c r="D22" s="34">
        <f t="shared" ref="D22:N22" si="5">SUM(D23:D28)</f>
        <v>11.428139099999999</v>
      </c>
      <c r="E22" s="34">
        <f t="shared" si="5"/>
        <v>17.320483500000002</v>
      </c>
      <c r="F22" s="34">
        <f t="shared" si="5"/>
        <v>13.849050700000001</v>
      </c>
      <c r="G22" s="34">
        <f t="shared" si="5"/>
        <v>17.591332529999999</v>
      </c>
      <c r="H22" s="34">
        <f t="shared" si="5"/>
        <v>12.779481390000001</v>
      </c>
      <c r="I22" s="34">
        <f t="shared" si="5"/>
        <v>14.877928219999999</v>
      </c>
      <c r="J22" s="34">
        <f t="shared" si="5"/>
        <v>12.66283988</v>
      </c>
      <c r="K22" s="34">
        <f t="shared" si="5"/>
        <v>14.02012315</v>
      </c>
      <c r="L22" s="34">
        <f t="shared" si="5"/>
        <v>13.462485850000002</v>
      </c>
      <c r="M22" s="34">
        <f t="shared" si="5"/>
        <v>15.46205591</v>
      </c>
      <c r="N22" s="22">
        <f t="shared" si="5"/>
        <v>17.437100000000001</v>
      </c>
      <c r="O22" s="22">
        <f t="shared" si="1"/>
        <v>173.64093269</v>
      </c>
    </row>
    <row r="23" spans="2:15">
      <c r="B23" s="35" t="s">
        <v>82</v>
      </c>
      <c r="C23" s="49">
        <v>0.12836477999999998</v>
      </c>
      <c r="D23" s="50">
        <v>0.13007358000000002</v>
      </c>
      <c r="E23" s="50">
        <v>0.12515716000000002</v>
      </c>
      <c r="F23" s="50">
        <v>0.14643755999999999</v>
      </c>
      <c r="G23" s="50">
        <v>0.1447</v>
      </c>
      <c r="H23" s="50">
        <v>0.26004074999999999</v>
      </c>
      <c r="I23" s="50">
        <v>0.16567483999999999</v>
      </c>
      <c r="J23" s="50">
        <v>0.13344308000000002</v>
      </c>
      <c r="K23" s="50">
        <v>0.12601762999999999</v>
      </c>
      <c r="L23" s="50">
        <v>0.15839470999999999</v>
      </c>
      <c r="M23" s="50">
        <v>0.12548953000000002</v>
      </c>
      <c r="N23" s="51">
        <v>0</v>
      </c>
      <c r="O23" s="19">
        <f t="shared" si="1"/>
        <v>1.6437936200000001</v>
      </c>
    </row>
    <row r="24" spans="2:15">
      <c r="B24" s="35" t="s">
        <v>83</v>
      </c>
      <c r="C24" s="49">
        <v>0</v>
      </c>
      <c r="D24" s="50">
        <v>0</v>
      </c>
      <c r="E24" s="50">
        <v>0</v>
      </c>
      <c r="F24" s="50">
        <v>0</v>
      </c>
      <c r="G24" s="50">
        <v>1.78293301</v>
      </c>
      <c r="H24" s="50">
        <v>0.10440000000000001</v>
      </c>
      <c r="I24" s="50">
        <v>0.1038</v>
      </c>
      <c r="J24" s="50">
        <v>0.1075</v>
      </c>
      <c r="K24" s="50">
        <v>0.1053</v>
      </c>
      <c r="L24" s="50">
        <v>0.1053</v>
      </c>
      <c r="M24" s="50">
        <v>0.1067</v>
      </c>
      <c r="N24" s="51">
        <v>0</v>
      </c>
      <c r="O24" s="19">
        <f t="shared" si="1"/>
        <v>2.4159330100000003</v>
      </c>
    </row>
    <row r="25" spans="2:15">
      <c r="B25" s="35" t="s">
        <v>84</v>
      </c>
      <c r="C25" s="49">
        <v>1.0240162399999999</v>
      </c>
      <c r="D25" s="50">
        <v>0.89770355000000002</v>
      </c>
      <c r="E25" s="50">
        <v>0.87272338999999999</v>
      </c>
      <c r="F25" s="50">
        <v>0.98060915000000004</v>
      </c>
      <c r="G25" s="50">
        <v>0.97601512000000001</v>
      </c>
      <c r="H25" s="50">
        <v>0.93679243000000001</v>
      </c>
      <c r="I25" s="50">
        <v>0.89235070000000005</v>
      </c>
      <c r="J25" s="50">
        <v>0.85727909000000002</v>
      </c>
      <c r="K25" s="50">
        <v>0.94307700000000005</v>
      </c>
      <c r="L25" s="50">
        <v>0.88530555</v>
      </c>
      <c r="M25" s="50">
        <v>0.93458229000000004</v>
      </c>
      <c r="N25" s="51">
        <v>0</v>
      </c>
      <c r="O25" s="19">
        <f t="shared" si="1"/>
        <v>10.20045451</v>
      </c>
    </row>
    <row r="26" spans="2:15">
      <c r="B26" s="35" t="s">
        <v>85</v>
      </c>
      <c r="C26" s="49">
        <v>4.4448525999999999</v>
      </c>
      <c r="D26" s="50">
        <v>4.7285811899999999</v>
      </c>
      <c r="E26" s="50">
        <v>4.9794990099999996</v>
      </c>
      <c r="F26" s="50">
        <v>4.9698895099999998</v>
      </c>
      <c r="G26" s="50">
        <v>4.8536637699999998</v>
      </c>
      <c r="H26" s="50">
        <v>4.6672172500000002</v>
      </c>
      <c r="I26" s="50">
        <v>5.0386474799999998</v>
      </c>
      <c r="J26" s="50">
        <v>4.5765338299999998</v>
      </c>
      <c r="K26" s="50">
        <v>4.86964445</v>
      </c>
      <c r="L26" s="50">
        <v>5.0365002900000002</v>
      </c>
      <c r="M26" s="50">
        <v>5.0402754299999994</v>
      </c>
      <c r="N26" s="51">
        <v>0</v>
      </c>
      <c r="O26" s="19">
        <f t="shared" si="1"/>
        <v>53.205304810000008</v>
      </c>
    </row>
    <row r="27" spans="2:15">
      <c r="B27" s="35" t="s">
        <v>86</v>
      </c>
      <c r="C27" s="49">
        <v>2.7747817600000002</v>
      </c>
      <c r="D27" s="50">
        <v>2.54702736</v>
      </c>
      <c r="E27" s="50">
        <v>2.2127718700000001</v>
      </c>
      <c r="F27" s="50">
        <v>2.6638215000000001</v>
      </c>
      <c r="G27" s="50">
        <v>2.9669202299999999</v>
      </c>
      <c r="H27" s="50">
        <v>2.6141675100000001</v>
      </c>
      <c r="I27" s="50">
        <v>3.0685298300000001</v>
      </c>
      <c r="J27" s="50">
        <v>2.9338671399999998</v>
      </c>
      <c r="K27" s="50">
        <v>2.37813578</v>
      </c>
      <c r="L27" s="50">
        <v>3.82393026</v>
      </c>
      <c r="M27" s="50">
        <v>2.4714581999999998</v>
      </c>
      <c r="N27" s="51">
        <v>0</v>
      </c>
      <c r="O27" s="19">
        <f t="shared" si="1"/>
        <v>30.455411440000002</v>
      </c>
    </row>
    <row r="28" spans="2:15">
      <c r="B28" s="35" t="s">
        <v>87</v>
      </c>
      <c r="C28" s="49">
        <v>4.3778970800000003</v>
      </c>
      <c r="D28" s="50">
        <v>3.1247534200000002</v>
      </c>
      <c r="E28" s="50">
        <v>9.1303320700000015</v>
      </c>
      <c r="F28" s="50">
        <v>5.0882929800000003</v>
      </c>
      <c r="G28" s="50">
        <v>6.8671003999999991</v>
      </c>
      <c r="H28" s="50">
        <v>4.1968634500000004</v>
      </c>
      <c r="I28" s="50">
        <v>5.6089253699999997</v>
      </c>
      <c r="J28" s="50">
        <v>4.0542167400000002</v>
      </c>
      <c r="K28" s="50">
        <v>5.5979482899999997</v>
      </c>
      <c r="L28" s="50">
        <v>3.4530550400000002</v>
      </c>
      <c r="M28" s="50">
        <v>6.7835504599999998</v>
      </c>
      <c r="N28" s="51">
        <v>17.437100000000001</v>
      </c>
      <c r="O28" s="19">
        <f t="shared" si="1"/>
        <v>75.720035300000006</v>
      </c>
    </row>
    <row r="29" spans="2:15" ht="24.95" customHeight="1">
      <c r="B29" s="25" t="s">
        <v>88</v>
      </c>
      <c r="C29" s="33">
        <f>SUM(C30:C31)</f>
        <v>1.3947247500000004</v>
      </c>
      <c r="D29" s="34">
        <f t="shared" ref="D29:N29" si="6">SUM(D30:D31)</f>
        <v>1.7978077200000002</v>
      </c>
      <c r="E29" s="34">
        <f t="shared" si="6"/>
        <v>1.9564987599999999</v>
      </c>
      <c r="F29" s="34">
        <f t="shared" si="6"/>
        <v>0.97839988999999994</v>
      </c>
      <c r="G29" s="34">
        <f t="shared" si="6"/>
        <v>1.97768473</v>
      </c>
      <c r="H29" s="34">
        <f t="shared" si="6"/>
        <v>1.6954382000000001</v>
      </c>
      <c r="I29" s="34">
        <f t="shared" si="6"/>
        <v>2.3672361500000001</v>
      </c>
      <c r="J29" s="34">
        <f t="shared" si="6"/>
        <v>1.4808741399999998</v>
      </c>
      <c r="K29" s="34">
        <f t="shared" si="6"/>
        <v>1.4581371599999999</v>
      </c>
      <c r="L29" s="34">
        <f t="shared" si="6"/>
        <v>2.3146749599999996</v>
      </c>
      <c r="M29" s="34">
        <f t="shared" si="6"/>
        <v>2.4110142399999996</v>
      </c>
      <c r="N29" s="22">
        <f t="shared" si="6"/>
        <v>2.1045380000000002</v>
      </c>
      <c r="O29" s="22">
        <f t="shared" si="1"/>
        <v>21.937028700000003</v>
      </c>
    </row>
    <row r="30" spans="2:15">
      <c r="B30" s="35" t="s">
        <v>89</v>
      </c>
      <c r="C30" s="49">
        <v>0.02</v>
      </c>
      <c r="D30" s="50">
        <v>1.6E-2</v>
      </c>
      <c r="E30" s="50">
        <v>5.0000000000000001E-3</v>
      </c>
      <c r="F30" s="50">
        <v>2.5000000000000001E-3</v>
      </c>
      <c r="G30" s="50">
        <v>7.4248000000000001E-4</v>
      </c>
      <c r="H30" s="50"/>
      <c r="I30" s="50"/>
      <c r="J30" s="50"/>
      <c r="K30" s="50">
        <v>2.526016E-2</v>
      </c>
      <c r="L30" s="50"/>
      <c r="M30" s="50"/>
      <c r="N30" s="51"/>
      <c r="O30" s="19">
        <f t="shared" si="1"/>
        <v>6.9502640000000004E-2</v>
      </c>
    </row>
    <row r="31" spans="2:15">
      <c r="B31" s="35" t="s">
        <v>90</v>
      </c>
      <c r="C31" s="49">
        <v>1.3747247500000004</v>
      </c>
      <c r="D31" s="50">
        <v>1.7818077200000002</v>
      </c>
      <c r="E31" s="50">
        <v>1.95149876</v>
      </c>
      <c r="F31" s="50">
        <v>0.97589988999999999</v>
      </c>
      <c r="G31" s="50">
        <v>1.97694225</v>
      </c>
      <c r="H31" s="50">
        <v>1.6954382000000001</v>
      </c>
      <c r="I31" s="50">
        <v>2.3672361500000001</v>
      </c>
      <c r="J31" s="50">
        <v>1.4808741399999998</v>
      </c>
      <c r="K31" s="50">
        <v>1.432877</v>
      </c>
      <c r="L31" s="50">
        <v>2.3146749599999996</v>
      </c>
      <c r="M31" s="50">
        <v>2.4110142399999996</v>
      </c>
      <c r="N31" s="51">
        <v>2.1045380000000002</v>
      </c>
      <c r="O31" s="19">
        <f t="shared" si="1"/>
        <v>21.867526059999999</v>
      </c>
    </row>
    <row r="32" spans="2:15" ht="24.95" customHeight="1">
      <c r="B32" s="38" t="s">
        <v>91</v>
      </c>
      <c r="C32" s="39">
        <f>+C7+C29</f>
        <v>399.04848754000011</v>
      </c>
      <c r="D32" s="40">
        <f t="shared" ref="D32:N32" si="7">+D7+D29</f>
        <v>313.90484571000002</v>
      </c>
      <c r="E32" s="40">
        <f t="shared" si="7"/>
        <v>338.43437138000007</v>
      </c>
      <c r="F32" s="40">
        <f t="shared" si="7"/>
        <v>598.02189953999994</v>
      </c>
      <c r="G32" s="40">
        <f t="shared" si="7"/>
        <v>434.80154380000005</v>
      </c>
      <c r="H32" s="40">
        <f t="shared" si="7"/>
        <v>333.93495673000007</v>
      </c>
      <c r="I32" s="40">
        <f t="shared" si="7"/>
        <v>343.14906724999997</v>
      </c>
      <c r="J32" s="40">
        <f t="shared" si="7"/>
        <v>320.26063370999998</v>
      </c>
      <c r="K32" s="40">
        <f t="shared" si="7"/>
        <v>317.80687087000001</v>
      </c>
      <c r="L32" s="40">
        <f t="shared" si="7"/>
        <v>338.56803428999996</v>
      </c>
      <c r="M32" s="40">
        <f t="shared" si="7"/>
        <v>346.29049552000004</v>
      </c>
      <c r="N32" s="41">
        <f t="shared" si="7"/>
        <v>349.35033799999997</v>
      </c>
      <c r="O32" s="41">
        <f>SUM(C32:N32)</f>
        <v>4433.5715443400004</v>
      </c>
    </row>
    <row r="33" spans="2:15" ht="8.25" customHeight="1">
      <c r="B33" s="42"/>
      <c r="C33" s="36"/>
      <c r="D33" s="37"/>
      <c r="E33" s="37"/>
      <c r="F33" s="37"/>
      <c r="G33" s="37"/>
      <c r="H33" s="37"/>
      <c r="I33" s="37"/>
      <c r="J33" s="37"/>
      <c r="K33" s="37"/>
      <c r="L33" s="37"/>
      <c r="M33" s="37"/>
      <c r="N33" s="19"/>
      <c r="O33" s="19"/>
    </row>
    <row r="34" spans="2:15" ht="24.95" customHeight="1">
      <c r="B34" s="25" t="s">
        <v>92</v>
      </c>
      <c r="C34" s="33">
        <f>SUM(C35:C36)</f>
        <v>6.7242041100000005</v>
      </c>
      <c r="D34" s="34">
        <f t="shared" ref="D34:N34" si="8">SUM(D35:D36)</f>
        <v>2.21081905</v>
      </c>
      <c r="E34" s="34">
        <f t="shared" si="8"/>
        <v>1.93859147</v>
      </c>
      <c r="F34" s="34">
        <f t="shared" si="8"/>
        <v>5.4335026500000003</v>
      </c>
      <c r="G34" s="34">
        <f t="shared" si="8"/>
        <v>9.6757162100000009</v>
      </c>
      <c r="H34" s="34">
        <f t="shared" si="8"/>
        <v>7.1113195999999999</v>
      </c>
      <c r="I34" s="34">
        <f t="shared" si="8"/>
        <v>3.41882318</v>
      </c>
      <c r="J34" s="34">
        <f t="shared" si="8"/>
        <v>8.0812647000000002</v>
      </c>
      <c r="K34" s="34">
        <f t="shared" si="8"/>
        <v>10.02674494</v>
      </c>
      <c r="L34" s="34">
        <f t="shared" si="8"/>
        <v>6.9067003299999996</v>
      </c>
      <c r="M34" s="34">
        <f t="shared" si="8"/>
        <v>5.7242005300000001</v>
      </c>
      <c r="N34" s="22">
        <f t="shared" si="8"/>
        <v>4.4564391499999996</v>
      </c>
      <c r="O34" s="22">
        <f>SUM(C34:N34)</f>
        <v>71.708325919999993</v>
      </c>
    </row>
    <row r="35" spans="2:15">
      <c r="B35" s="43" t="s">
        <v>93</v>
      </c>
      <c r="C35" s="49">
        <v>0.32738012999999999</v>
      </c>
      <c r="D35" s="50">
        <v>2.4553169999999999E-2</v>
      </c>
      <c r="E35" s="50">
        <v>0</v>
      </c>
      <c r="F35" s="50">
        <v>0.74382707000000003</v>
      </c>
      <c r="G35" s="50">
        <v>6.0044863200000007</v>
      </c>
      <c r="H35" s="50">
        <v>5.2442094700000004</v>
      </c>
      <c r="I35" s="50">
        <v>5.3997440000000001E-2</v>
      </c>
      <c r="J35" s="50">
        <v>2.9412033499999999</v>
      </c>
      <c r="K35" s="50">
        <v>6.4177972600000004</v>
      </c>
      <c r="L35" s="50">
        <v>4.67637283</v>
      </c>
      <c r="M35" s="50">
        <v>1.96798377</v>
      </c>
      <c r="N35" s="51">
        <v>2.4620886</v>
      </c>
      <c r="O35" s="19">
        <f>SUM(C35:N35)</f>
        <v>30.863899409999998</v>
      </c>
    </row>
    <row r="36" spans="2:15">
      <c r="B36" s="44" t="s">
        <v>94</v>
      </c>
      <c r="C36" s="52">
        <v>6.3968239800000006</v>
      </c>
      <c r="D36" s="53">
        <v>2.1862658800000001</v>
      </c>
      <c r="E36" s="53">
        <v>1.93859147</v>
      </c>
      <c r="F36" s="53">
        <v>4.6896755800000003</v>
      </c>
      <c r="G36" s="53">
        <v>3.6712298899999998</v>
      </c>
      <c r="H36" s="53">
        <v>1.8671101299999999</v>
      </c>
      <c r="I36" s="53">
        <v>3.3648257400000001</v>
      </c>
      <c r="J36" s="53">
        <v>5.1400613499999999</v>
      </c>
      <c r="K36" s="53">
        <v>3.60894768</v>
      </c>
      <c r="L36" s="53">
        <v>2.2303275</v>
      </c>
      <c r="M36" s="53">
        <v>3.75621676</v>
      </c>
      <c r="N36" s="54">
        <v>1.9943505500000001</v>
      </c>
      <c r="O36" s="47">
        <f>SUM(C36:N36)</f>
        <v>40.844426510000005</v>
      </c>
    </row>
    <row r="37" spans="2:15">
      <c r="B37" s="767" t="s">
        <v>95</v>
      </c>
      <c r="C37" s="767"/>
      <c r="D37" s="767"/>
      <c r="E37" s="767"/>
      <c r="F37" s="767"/>
      <c r="G37" s="767"/>
      <c r="H37" s="767"/>
      <c r="I37" s="767"/>
      <c r="J37" s="767"/>
      <c r="K37" s="767"/>
      <c r="L37" s="767"/>
      <c r="M37" s="767"/>
      <c r="N37" s="767"/>
      <c r="O37" s="767"/>
    </row>
    <row r="38" spans="2:15">
      <c r="B38" s="48" t="s">
        <v>694</v>
      </c>
      <c r="C38" s="2"/>
      <c r="D38" s="2"/>
      <c r="E38" s="2"/>
      <c r="F38" s="2"/>
      <c r="G38" s="2"/>
      <c r="H38" s="2"/>
      <c r="I38" s="2"/>
      <c r="J38" s="2"/>
      <c r="K38" s="2"/>
      <c r="L38" s="2"/>
      <c r="M38" s="2"/>
      <c r="N38" s="2"/>
      <c r="O38" s="2"/>
    </row>
    <row r="39" spans="2:15">
      <c r="B39" s="768" t="s">
        <v>108</v>
      </c>
      <c r="C39" s="768"/>
      <c r="D39" s="768"/>
      <c r="E39" s="768"/>
      <c r="F39" s="768"/>
      <c r="G39" s="768"/>
      <c r="H39" s="768"/>
      <c r="I39" s="768"/>
      <c r="J39" s="768"/>
      <c r="K39" s="768"/>
      <c r="L39" s="768"/>
      <c r="M39" s="768"/>
      <c r="N39" s="768"/>
      <c r="O39" s="768"/>
    </row>
    <row r="40" spans="2:15" ht="15.75" customHeight="1">
      <c r="B40" s="613"/>
      <c r="C40" s="613"/>
      <c r="D40" s="613"/>
      <c r="E40" s="613"/>
      <c r="F40" s="613"/>
      <c r="G40" s="613"/>
      <c r="H40" s="613"/>
      <c r="I40" s="613"/>
      <c r="J40" s="613"/>
      <c r="K40" s="613"/>
      <c r="L40" s="613"/>
      <c r="M40" s="613"/>
      <c r="N40" s="613"/>
      <c r="O40" s="613"/>
    </row>
    <row r="41" spans="2:15">
      <c r="B41" s="9"/>
    </row>
  </sheetData>
  <mergeCells count="2">
    <mergeCell ref="B37:O37"/>
    <mergeCell ref="B39:O39"/>
  </mergeCells>
  <printOptions horizontalCentered="1"/>
  <pageMargins left="0.7" right="0.7" top="0.75" bottom="0.75" header="0.3" footer="0.3"/>
  <pageSetup scale="7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F42"/>
  <sheetViews>
    <sheetView workbookViewId="0"/>
  </sheetViews>
  <sheetFormatPr baseColWidth="10" defaultRowHeight="15"/>
  <cols>
    <col min="1" max="1" width="1.85546875" customWidth="1"/>
    <col min="2" max="2" width="51" customWidth="1"/>
    <col min="3" max="14" width="8.28515625" customWidth="1"/>
    <col min="15" max="15" width="10.5703125" customWidth="1"/>
    <col min="16" max="16" width="2.7109375" customWidth="1"/>
    <col min="18" max="31" width="11.42578125" hidden="1" customWidth="1"/>
  </cols>
  <sheetData>
    <row r="2" spans="2:32">
      <c r="B2" t="s">
        <v>18</v>
      </c>
    </row>
    <row r="3" spans="2:32">
      <c r="B3" t="s">
        <v>661</v>
      </c>
      <c r="C3" s="9"/>
      <c r="D3" s="9"/>
      <c r="E3" s="9"/>
      <c r="F3" s="9"/>
      <c r="G3" s="9"/>
      <c r="H3" s="9"/>
      <c r="I3" s="9"/>
      <c r="J3" s="9"/>
      <c r="K3" s="9"/>
      <c r="L3" s="9"/>
      <c r="M3" s="9"/>
      <c r="N3" s="9"/>
    </row>
    <row r="4" spans="2:32">
      <c r="B4" t="s">
        <v>19</v>
      </c>
      <c r="C4" s="9"/>
      <c r="D4" s="9"/>
      <c r="E4" s="9"/>
      <c r="F4" s="9"/>
      <c r="G4" s="9"/>
      <c r="H4" s="9"/>
      <c r="I4" s="9"/>
      <c r="J4" s="9"/>
      <c r="K4" s="9"/>
      <c r="L4" s="9"/>
      <c r="M4" s="9"/>
      <c r="N4" s="9"/>
    </row>
    <row r="6" spans="2:32"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2017</v>
      </c>
      <c r="AF6" s="9"/>
    </row>
    <row r="7" spans="2:32" ht="24.95" customHeight="1">
      <c r="B7" s="25" t="s">
        <v>71</v>
      </c>
      <c r="C7" s="33">
        <f>C8+C22</f>
        <v>414.82167052</v>
      </c>
      <c r="D7" s="34">
        <f>+D8+D22</f>
        <v>320.23005282999998</v>
      </c>
      <c r="E7" s="34">
        <f t="shared" ref="E7:M7" si="0">+E8+E22</f>
        <v>362.80052206400001</v>
      </c>
      <c r="F7" s="34">
        <f t="shared" si="0"/>
        <v>597.37985049000008</v>
      </c>
      <c r="G7" s="34">
        <f t="shared" si="0"/>
        <v>490.34070763000005</v>
      </c>
      <c r="H7" s="34">
        <f t="shared" si="0"/>
        <v>378.87191890999998</v>
      </c>
      <c r="I7" s="34">
        <f t="shared" si="0"/>
        <v>393.57030686999997</v>
      </c>
      <c r="J7" s="34">
        <f t="shared" si="0"/>
        <v>359.68524204000005</v>
      </c>
      <c r="K7" s="34">
        <f t="shared" si="0"/>
        <v>327.70397529000007</v>
      </c>
      <c r="L7" s="34">
        <f t="shared" si="0"/>
        <v>398.47259999999994</v>
      </c>
      <c r="M7" s="34">
        <f t="shared" si="0"/>
        <v>357.67559999999997</v>
      </c>
      <c r="N7" s="22">
        <f>+N8+N22</f>
        <v>416.46450000000004</v>
      </c>
      <c r="O7" s="22">
        <f t="shared" ref="O7:O31" si="1">SUM(C7:N7)</f>
        <v>4818.0169466440002</v>
      </c>
      <c r="AF7" s="9"/>
    </row>
    <row r="8" spans="2:32" ht="24.95" customHeight="1">
      <c r="B8" s="15" t="s">
        <v>72</v>
      </c>
      <c r="C8" s="33">
        <f>SUM(C9:C14)</f>
        <v>399.70035278</v>
      </c>
      <c r="D8" s="34">
        <f t="shared" ref="D8:N8" si="2">SUM(D9:D14)</f>
        <v>303.58973508999998</v>
      </c>
      <c r="E8" s="34">
        <f t="shared" si="2"/>
        <v>340.80272416299999</v>
      </c>
      <c r="F8" s="34">
        <f t="shared" si="2"/>
        <v>582.39626310000006</v>
      </c>
      <c r="G8" s="34">
        <f t="shared" si="2"/>
        <v>470.43555910000003</v>
      </c>
      <c r="H8" s="34">
        <f t="shared" si="2"/>
        <v>361.75586743999997</v>
      </c>
      <c r="I8" s="34">
        <f t="shared" si="2"/>
        <v>338.32417461</v>
      </c>
      <c r="J8" s="34">
        <f t="shared" si="2"/>
        <v>332.77641536000004</v>
      </c>
      <c r="K8" s="34">
        <f t="shared" si="2"/>
        <v>312.45222980000005</v>
      </c>
      <c r="L8" s="34">
        <f t="shared" si="2"/>
        <v>338.86499999999995</v>
      </c>
      <c r="M8" s="34">
        <f t="shared" si="2"/>
        <v>342.44539999999995</v>
      </c>
      <c r="N8" s="22">
        <f t="shared" si="2"/>
        <v>364.63560000000007</v>
      </c>
      <c r="O8" s="22">
        <f t="shared" si="1"/>
        <v>4488.1793214429999</v>
      </c>
      <c r="AF8" s="9"/>
    </row>
    <row r="9" spans="2:32">
      <c r="B9" s="35" t="s">
        <v>73</v>
      </c>
      <c r="C9" s="49">
        <v>175.58513812000001</v>
      </c>
      <c r="D9" s="50">
        <v>147.51670316000002</v>
      </c>
      <c r="E9" s="50">
        <v>160.75704893</v>
      </c>
      <c r="F9" s="50">
        <v>153.71423675</v>
      </c>
      <c r="G9" s="50">
        <v>164.67453885</v>
      </c>
      <c r="H9" s="50">
        <v>160.87790000000001</v>
      </c>
      <c r="I9" s="50">
        <v>153.7708782</v>
      </c>
      <c r="J9" s="50">
        <v>159.94295333000002</v>
      </c>
      <c r="K9" s="50">
        <v>153.15746881000001</v>
      </c>
      <c r="L9" s="50">
        <v>164.28139999999999</v>
      </c>
      <c r="M9" s="50">
        <v>169.7961</v>
      </c>
      <c r="N9" s="51">
        <v>182.86619999999999</v>
      </c>
      <c r="O9" s="19">
        <f t="shared" si="1"/>
        <v>1946.9405661500002</v>
      </c>
      <c r="R9" s="55"/>
      <c r="AE9" s="55"/>
      <c r="AF9" s="9"/>
    </row>
    <row r="10" spans="2:32">
      <c r="B10" s="35" t="s">
        <v>24</v>
      </c>
      <c r="C10" s="49">
        <v>162.44816526</v>
      </c>
      <c r="D10" s="50">
        <v>104.58199517999999</v>
      </c>
      <c r="E10" s="50">
        <v>121.2111117</v>
      </c>
      <c r="F10" s="50">
        <v>333.14048175000005</v>
      </c>
      <c r="G10" s="50">
        <v>223.05145074000001</v>
      </c>
      <c r="H10" s="50">
        <v>142.50669999999997</v>
      </c>
      <c r="I10" s="50">
        <v>128.52660320000001</v>
      </c>
      <c r="J10" s="50">
        <v>113.82782786</v>
      </c>
      <c r="K10" s="50">
        <v>102.84511617</v>
      </c>
      <c r="L10" s="50">
        <v>113.1277</v>
      </c>
      <c r="M10" s="50">
        <v>107.44139999999999</v>
      </c>
      <c r="N10" s="51">
        <v>120.45620000000001</v>
      </c>
      <c r="O10" s="19">
        <f t="shared" si="1"/>
        <v>1773.16475186</v>
      </c>
      <c r="R10" t="s">
        <v>105</v>
      </c>
      <c r="S10">
        <v>2.0036266600000001</v>
      </c>
      <c r="T10">
        <v>1.7893525400000001</v>
      </c>
      <c r="U10">
        <v>2.1956950800000001</v>
      </c>
      <c r="V10">
        <v>1.5391872</v>
      </c>
      <c r="W10">
        <v>1.5806</v>
      </c>
      <c r="X10">
        <v>2.2824</v>
      </c>
      <c r="AE10" s="55">
        <f>SUM(S10:AD10)</f>
        <v>11.390861480000002</v>
      </c>
      <c r="AF10" s="9"/>
    </row>
    <row r="11" spans="2:32">
      <c r="B11" s="35" t="s">
        <v>27</v>
      </c>
      <c r="C11" s="49">
        <v>15.85659697</v>
      </c>
      <c r="D11" s="50">
        <v>15.43556923</v>
      </c>
      <c r="E11" s="50">
        <v>17.613646920000001</v>
      </c>
      <c r="F11" s="50">
        <v>14.224712589999999</v>
      </c>
      <c r="G11" s="50">
        <v>18.452417690000001</v>
      </c>
      <c r="H11" s="50">
        <v>16.920899999999996</v>
      </c>
      <c r="I11" s="50">
        <v>16.406630060000001</v>
      </c>
      <c r="J11" s="50">
        <v>18.256022089999998</v>
      </c>
      <c r="K11" s="50">
        <v>16.27542326</v>
      </c>
      <c r="L11" s="50">
        <v>21.237100000000002</v>
      </c>
      <c r="M11" s="50">
        <v>21.881799999999998</v>
      </c>
      <c r="N11" s="51">
        <v>18.252600000000001</v>
      </c>
      <c r="O11" s="19">
        <f t="shared" si="1"/>
        <v>210.81341880999997</v>
      </c>
      <c r="R11" t="s">
        <v>106</v>
      </c>
      <c r="S11">
        <v>9.739268580000001</v>
      </c>
      <c r="T11">
        <v>8.3760058000000015</v>
      </c>
      <c r="U11">
        <v>7.8996543700000004</v>
      </c>
      <c r="V11">
        <v>8.5065343999999996</v>
      </c>
      <c r="W11">
        <v>7.6777999999999995</v>
      </c>
      <c r="X11">
        <v>8.6527999999999992</v>
      </c>
      <c r="Y11">
        <v>0</v>
      </c>
      <c r="Z11">
        <v>0</v>
      </c>
      <c r="AA11">
        <v>0</v>
      </c>
      <c r="AB11">
        <v>0</v>
      </c>
      <c r="AC11">
        <v>0</v>
      </c>
      <c r="AD11">
        <v>0</v>
      </c>
      <c r="AE11" s="55">
        <f>SUM(S11:AD11)</f>
        <v>50.852063149999999</v>
      </c>
      <c r="AF11" s="9"/>
    </row>
    <row r="12" spans="2:32">
      <c r="B12" s="35" t="s">
        <v>74</v>
      </c>
      <c r="C12" s="49">
        <v>16.50473032</v>
      </c>
      <c r="D12" s="50">
        <v>10.828300310000001</v>
      </c>
      <c r="E12" s="50">
        <v>13.011577682999999</v>
      </c>
      <c r="F12" s="50">
        <v>15.334124459999998</v>
      </c>
      <c r="G12" s="50">
        <v>14.95637065</v>
      </c>
      <c r="H12" s="50">
        <v>14.276234000000001</v>
      </c>
      <c r="I12" s="50">
        <v>13.124604300000001</v>
      </c>
      <c r="J12" s="50">
        <v>13.815355309999999</v>
      </c>
      <c r="K12" s="50">
        <v>14.45527641</v>
      </c>
      <c r="L12" s="50">
        <v>14.411399999999999</v>
      </c>
      <c r="M12" s="50">
        <v>16.739600000000003</v>
      </c>
      <c r="N12" s="51">
        <v>15.768099999999999</v>
      </c>
      <c r="O12" s="19">
        <f t="shared" si="1"/>
        <v>173.22567344300001</v>
      </c>
      <c r="AF12" s="9"/>
    </row>
    <row r="13" spans="2:32">
      <c r="B13" s="35" t="s">
        <v>75</v>
      </c>
      <c r="C13" s="49">
        <v>11.742895240000001</v>
      </c>
      <c r="D13" s="50">
        <v>10.165358340000001</v>
      </c>
      <c r="E13" s="50">
        <v>10.095349450000001</v>
      </c>
      <c r="F13" s="50">
        <v>10.0457216</v>
      </c>
      <c r="G13" s="50">
        <v>9.2441434399999984</v>
      </c>
      <c r="H13" s="50">
        <v>10.943763439999998</v>
      </c>
      <c r="I13" s="50">
        <v>10.33680646</v>
      </c>
      <c r="J13" s="50">
        <v>9.8924373499999998</v>
      </c>
      <c r="K13" s="50">
        <v>9.9202492699999993</v>
      </c>
      <c r="L13" s="50">
        <v>9.7928999999999995</v>
      </c>
      <c r="M13" s="50">
        <v>10.3203</v>
      </c>
      <c r="N13" s="51">
        <v>10.3292</v>
      </c>
      <c r="O13" s="19">
        <f t="shared" si="1"/>
        <v>122.82912459000001</v>
      </c>
      <c r="S13">
        <f>+S10+S11</f>
        <v>11.742895240000001</v>
      </c>
      <c r="T13">
        <f t="shared" ref="T13:AD13" si="3">+T10+T11</f>
        <v>10.165358340000001</v>
      </c>
      <c r="U13">
        <f t="shared" si="3"/>
        <v>10.095349450000001</v>
      </c>
      <c r="V13">
        <f t="shared" si="3"/>
        <v>10.0457216</v>
      </c>
      <c r="W13">
        <f t="shared" si="3"/>
        <v>9.2584</v>
      </c>
      <c r="X13">
        <f t="shared" si="3"/>
        <v>10.935199999999998</v>
      </c>
      <c r="Y13">
        <f t="shared" si="3"/>
        <v>0</v>
      </c>
      <c r="Z13">
        <f t="shared" si="3"/>
        <v>0</v>
      </c>
      <c r="AA13">
        <f t="shared" si="3"/>
        <v>0</v>
      </c>
      <c r="AB13">
        <f t="shared" si="3"/>
        <v>0</v>
      </c>
      <c r="AC13">
        <f t="shared" si="3"/>
        <v>0</v>
      </c>
      <c r="AD13">
        <f t="shared" si="3"/>
        <v>0</v>
      </c>
      <c r="AE13" s="55">
        <f>SUM(S13:AD13)</f>
        <v>62.242924630000005</v>
      </c>
      <c r="AF13" s="9"/>
    </row>
    <row r="14" spans="2:32">
      <c r="B14" s="35" t="s">
        <v>76</v>
      </c>
      <c r="C14" s="49">
        <f>SUM(C15:C21)</f>
        <v>17.562826869999999</v>
      </c>
      <c r="D14" s="50">
        <f t="shared" ref="D14:N14" si="4">SUM(D15:D21)</f>
        <v>15.06180887</v>
      </c>
      <c r="E14" s="50">
        <f t="shared" si="4"/>
        <v>18.113989480000001</v>
      </c>
      <c r="F14" s="50">
        <f t="shared" si="4"/>
        <v>55.936985950000008</v>
      </c>
      <c r="G14" s="50">
        <f t="shared" si="4"/>
        <v>40.056637729999998</v>
      </c>
      <c r="H14" s="50">
        <f t="shared" si="4"/>
        <v>16.230369999999997</v>
      </c>
      <c r="I14" s="50">
        <f t="shared" si="4"/>
        <v>16.15865239</v>
      </c>
      <c r="J14" s="50">
        <f t="shared" si="4"/>
        <v>17.041819419999999</v>
      </c>
      <c r="K14" s="50">
        <f t="shared" si="4"/>
        <v>15.798695880000002</v>
      </c>
      <c r="L14" s="50">
        <f t="shared" si="4"/>
        <v>16.014499999999998</v>
      </c>
      <c r="M14" s="50">
        <f t="shared" si="4"/>
        <v>16.266200000000001</v>
      </c>
      <c r="N14" s="51">
        <f t="shared" si="4"/>
        <v>16.9633</v>
      </c>
      <c r="O14" s="19">
        <f t="shared" si="1"/>
        <v>261.20578658999995</v>
      </c>
      <c r="AF14" s="9"/>
    </row>
    <row r="15" spans="2:32">
      <c r="B15" s="17" t="s">
        <v>77</v>
      </c>
      <c r="C15" s="49">
        <v>8.0931575599999999</v>
      </c>
      <c r="D15" s="50">
        <v>7.0103</v>
      </c>
      <c r="E15" s="50">
        <v>6.9972733700000003</v>
      </c>
      <c r="F15" s="50">
        <v>7.7414950400000002</v>
      </c>
      <c r="G15" s="50">
        <v>7.3262540200000004</v>
      </c>
      <c r="H15" s="50">
        <v>7.3147000000000002</v>
      </c>
      <c r="I15" s="50">
        <v>6.9888432299999996</v>
      </c>
      <c r="J15" s="50">
        <v>7.8563999999999998</v>
      </c>
      <c r="K15" s="50">
        <v>7.2219637700000003</v>
      </c>
      <c r="L15" s="50">
        <v>7.2126999999999999</v>
      </c>
      <c r="M15" s="50">
        <v>7.0494000000000003</v>
      </c>
      <c r="N15" s="51">
        <v>8.1866000000000003</v>
      </c>
      <c r="O15" s="19">
        <f t="shared" si="1"/>
        <v>88.999086989999995</v>
      </c>
      <c r="AF15" s="9"/>
    </row>
    <row r="16" spans="2:32">
      <c r="B16" s="17" t="s">
        <v>78</v>
      </c>
      <c r="C16" s="49">
        <v>0</v>
      </c>
      <c r="D16" s="50">
        <v>4.8292069999999999E-2</v>
      </c>
      <c r="E16" s="50">
        <v>0.18277044000000001</v>
      </c>
      <c r="F16" s="50">
        <v>0.2066161</v>
      </c>
      <c r="G16" s="50">
        <v>0</v>
      </c>
      <c r="H16" s="50">
        <v>0</v>
      </c>
      <c r="I16" s="50">
        <v>0.27796584000000002</v>
      </c>
      <c r="J16" s="50">
        <v>0</v>
      </c>
      <c r="K16" s="50">
        <v>0</v>
      </c>
      <c r="L16" s="50">
        <v>0.2535</v>
      </c>
      <c r="M16" s="50">
        <v>0</v>
      </c>
      <c r="N16" s="51">
        <v>0</v>
      </c>
      <c r="O16" s="19">
        <f t="shared" si="1"/>
        <v>0.96914444999999994</v>
      </c>
      <c r="AF16" s="9"/>
    </row>
    <row r="17" spans="2:32">
      <c r="B17" s="17" t="s">
        <v>79</v>
      </c>
      <c r="C17" s="49">
        <v>0.68716186999999995</v>
      </c>
      <c r="D17" s="50">
        <v>1.0049216700000001</v>
      </c>
      <c r="E17" s="50">
        <v>0.87261876999999999</v>
      </c>
      <c r="F17" s="50">
        <v>1.0446716700000001</v>
      </c>
      <c r="G17" s="50">
        <v>0.87920377000000005</v>
      </c>
      <c r="H17" s="50">
        <v>0.91399999999999992</v>
      </c>
      <c r="I17" s="50">
        <v>0.92617143999999996</v>
      </c>
      <c r="J17" s="50">
        <v>1.0347</v>
      </c>
      <c r="K17" s="50">
        <v>0.96034832999999997</v>
      </c>
      <c r="L17" s="50">
        <v>0.92959999999999998</v>
      </c>
      <c r="M17" s="50">
        <v>1.0166999999999999</v>
      </c>
      <c r="N17" s="51">
        <v>0.86029999999999995</v>
      </c>
      <c r="O17" s="19">
        <f t="shared" si="1"/>
        <v>11.130397520000001</v>
      </c>
      <c r="AF17" s="9"/>
    </row>
    <row r="18" spans="2:32">
      <c r="B18" s="17" t="s">
        <v>80</v>
      </c>
      <c r="C18" s="49">
        <v>4.06328318</v>
      </c>
      <c r="D18" s="50">
        <v>3.52693513</v>
      </c>
      <c r="E18" s="50">
        <v>3.5302113799999999</v>
      </c>
      <c r="F18" s="50">
        <v>3.8832975200000002</v>
      </c>
      <c r="G18" s="50">
        <v>3.7028628100000001</v>
      </c>
      <c r="H18" s="50">
        <v>3.6604999999999999</v>
      </c>
      <c r="I18" s="50">
        <v>3.5159716200000002</v>
      </c>
      <c r="J18" s="50">
        <v>3.9496000000000002</v>
      </c>
      <c r="K18" s="50">
        <v>3.63333189</v>
      </c>
      <c r="L18" s="50">
        <v>3.6282000000000001</v>
      </c>
      <c r="M18" s="50">
        <v>3.5253000000000001</v>
      </c>
      <c r="N18" s="51">
        <v>4.1081000000000003</v>
      </c>
      <c r="O18" s="19">
        <f t="shared" si="1"/>
        <v>44.72759353</v>
      </c>
      <c r="S18" s="9"/>
      <c r="T18" s="9"/>
      <c r="U18" s="9"/>
      <c r="V18" s="9"/>
      <c r="W18" s="9"/>
      <c r="X18" s="9"/>
      <c r="Y18" s="9"/>
      <c r="Z18" s="9"/>
      <c r="AA18" s="9"/>
      <c r="AB18" s="9"/>
      <c r="AC18" s="9"/>
      <c r="AD18" s="9"/>
      <c r="AE18" s="9"/>
      <c r="AF18" s="9"/>
    </row>
    <row r="19" spans="2:32">
      <c r="B19" s="17" t="s">
        <v>48</v>
      </c>
      <c r="C19" s="49"/>
      <c r="D19" s="50"/>
      <c r="E19" s="50"/>
      <c r="F19" s="50"/>
      <c r="G19" s="50"/>
      <c r="H19" s="50"/>
      <c r="I19" s="50"/>
      <c r="J19" s="50"/>
      <c r="K19" s="50"/>
      <c r="L19" s="50"/>
      <c r="M19" s="50"/>
      <c r="N19" s="51"/>
      <c r="O19" s="19">
        <f t="shared" si="1"/>
        <v>0</v>
      </c>
      <c r="S19" s="9"/>
      <c r="T19" s="9"/>
      <c r="U19" s="9"/>
      <c r="V19" s="9"/>
      <c r="W19" s="9"/>
      <c r="X19" s="9"/>
      <c r="Y19" s="9"/>
      <c r="Z19" s="9"/>
      <c r="AA19" s="9"/>
      <c r="AB19" s="9"/>
      <c r="AC19" s="9"/>
      <c r="AD19" s="9"/>
      <c r="AE19" s="9"/>
      <c r="AF19" s="9"/>
    </row>
    <row r="20" spans="2:32">
      <c r="B20" s="17" t="s">
        <v>110</v>
      </c>
      <c r="C20" s="49">
        <v>4.7092012399999996</v>
      </c>
      <c r="D20" s="50">
        <v>2.9180095100000001</v>
      </c>
      <c r="E20" s="50">
        <v>4.1393667499999998</v>
      </c>
      <c r="F20" s="50">
        <v>3.6353997499999999</v>
      </c>
      <c r="G20" s="50">
        <v>4.2603082700000003</v>
      </c>
      <c r="H20" s="50">
        <v>4.3209</v>
      </c>
      <c r="I20" s="50">
        <v>4.1993394799999999</v>
      </c>
      <c r="J20" s="50">
        <v>4.1524000000000001</v>
      </c>
      <c r="K20" s="50">
        <v>3.98305189</v>
      </c>
      <c r="L20" s="50">
        <v>3.9902000000000002</v>
      </c>
      <c r="M20" s="50">
        <v>4.6746999999999996</v>
      </c>
      <c r="N20" s="51">
        <v>3.8083</v>
      </c>
      <c r="O20" s="19">
        <f t="shared" si="1"/>
        <v>48.791176890000003</v>
      </c>
      <c r="S20" s="9"/>
      <c r="T20" s="9"/>
      <c r="U20" s="9"/>
      <c r="V20" s="9"/>
      <c r="W20" s="9"/>
      <c r="X20" s="9"/>
      <c r="Y20" s="9"/>
      <c r="Z20" s="9"/>
      <c r="AA20" s="9"/>
      <c r="AB20" s="9"/>
      <c r="AC20" s="9"/>
      <c r="AD20" s="9"/>
      <c r="AE20" s="9"/>
      <c r="AF20" s="9"/>
    </row>
    <row r="21" spans="2:32">
      <c r="B21" s="17" t="s">
        <v>111</v>
      </c>
      <c r="C21" s="49">
        <v>1.0023020000000001E-2</v>
      </c>
      <c r="D21" s="50">
        <v>0.55335049000000003</v>
      </c>
      <c r="E21" s="50">
        <v>2.39174877</v>
      </c>
      <c r="F21" s="50">
        <v>39.425505870000002</v>
      </c>
      <c r="G21" s="50">
        <v>23.888008859999999</v>
      </c>
      <c r="H21" s="50">
        <v>2.027E-2</v>
      </c>
      <c r="I21" s="50">
        <v>0.25036078</v>
      </c>
      <c r="J21" s="50">
        <v>4.8719419999999999E-2</v>
      </c>
      <c r="K21" s="50"/>
      <c r="L21" s="50">
        <v>2.9999999999999997E-4</v>
      </c>
      <c r="M21" s="50">
        <v>1E-4</v>
      </c>
      <c r="N21" s="51"/>
      <c r="O21" s="19">
        <f t="shared" si="1"/>
        <v>66.588387209999979</v>
      </c>
      <c r="S21" s="9"/>
      <c r="T21" s="9"/>
      <c r="U21" s="9"/>
      <c r="V21" s="9"/>
      <c r="W21" s="9"/>
      <c r="X21" s="9"/>
      <c r="Y21" s="9"/>
      <c r="Z21" s="9"/>
      <c r="AA21" s="9"/>
      <c r="AB21" s="9"/>
      <c r="AC21" s="9"/>
      <c r="AD21" s="9"/>
      <c r="AE21" s="9"/>
      <c r="AF21" s="9"/>
    </row>
    <row r="22" spans="2:32" ht="24.95" customHeight="1">
      <c r="B22" s="15" t="s">
        <v>81</v>
      </c>
      <c r="C22" s="33">
        <f>SUM(C23:C28)</f>
        <v>15.12131774</v>
      </c>
      <c r="D22" s="34">
        <f t="shared" ref="D22:N22" si="5">SUM(D23:D28)</f>
        <v>16.64031774</v>
      </c>
      <c r="E22" s="34">
        <f t="shared" si="5"/>
        <v>21.997797901000002</v>
      </c>
      <c r="F22" s="34">
        <f t="shared" si="5"/>
        <v>14.98358739</v>
      </c>
      <c r="G22" s="34">
        <f t="shared" si="5"/>
        <v>19.905148529999998</v>
      </c>
      <c r="H22" s="34">
        <f t="shared" si="5"/>
        <v>17.116051469999999</v>
      </c>
      <c r="I22" s="34">
        <f t="shared" si="5"/>
        <v>55.246132259999996</v>
      </c>
      <c r="J22" s="34">
        <f t="shared" si="5"/>
        <v>26.908826680000001</v>
      </c>
      <c r="K22" s="34">
        <f t="shared" si="5"/>
        <v>15.251745490000001</v>
      </c>
      <c r="L22" s="34">
        <f t="shared" si="5"/>
        <v>59.607599999999998</v>
      </c>
      <c r="M22" s="34">
        <f t="shared" si="5"/>
        <v>15.230199999999998</v>
      </c>
      <c r="N22" s="22">
        <f t="shared" si="5"/>
        <v>51.828900000000004</v>
      </c>
      <c r="O22" s="22">
        <f t="shared" si="1"/>
        <v>329.83762520100004</v>
      </c>
      <c r="AF22" s="9"/>
    </row>
    <row r="23" spans="2:32">
      <c r="B23" s="35" t="s">
        <v>82</v>
      </c>
      <c r="C23" s="49">
        <v>0.12525729999999999</v>
      </c>
      <c r="D23" s="50">
        <v>0.10806009999999999</v>
      </c>
      <c r="E23" s="50">
        <v>9.6172239999999992E-2</v>
      </c>
      <c r="F23" s="50">
        <v>0.14552424999999999</v>
      </c>
      <c r="G23" s="50">
        <v>0.18709322</v>
      </c>
      <c r="H23" s="50">
        <v>0.21849907999999998</v>
      </c>
      <c r="I23" s="50">
        <v>0.47725027000000003</v>
      </c>
      <c r="J23" s="50">
        <v>0.28070107999999999</v>
      </c>
      <c r="K23" s="50">
        <v>0.29823565000000002</v>
      </c>
      <c r="L23" s="50">
        <v>0</v>
      </c>
      <c r="M23" s="50">
        <v>0</v>
      </c>
      <c r="N23" s="51">
        <v>0</v>
      </c>
      <c r="O23" s="19">
        <f t="shared" si="1"/>
        <v>1.9367931900000002</v>
      </c>
      <c r="AF23" s="9"/>
    </row>
    <row r="24" spans="2:32">
      <c r="B24" s="35" t="s">
        <v>83</v>
      </c>
      <c r="C24" s="49">
        <v>0</v>
      </c>
      <c r="D24" s="50">
        <v>0</v>
      </c>
      <c r="E24" s="50">
        <v>0</v>
      </c>
      <c r="F24" s="50">
        <v>0</v>
      </c>
      <c r="G24" s="50">
        <v>1.970316</v>
      </c>
      <c r="H24" s="50">
        <v>0</v>
      </c>
      <c r="I24" s="50">
        <v>5</v>
      </c>
      <c r="J24" s="50">
        <v>4</v>
      </c>
      <c r="K24" s="50">
        <v>0</v>
      </c>
      <c r="L24" s="50">
        <v>0</v>
      </c>
      <c r="M24" s="50">
        <v>0</v>
      </c>
      <c r="N24" s="51">
        <v>16.885999999999999</v>
      </c>
      <c r="O24" s="19">
        <f t="shared" si="1"/>
        <v>27.856316</v>
      </c>
      <c r="AF24" s="9"/>
    </row>
    <row r="25" spans="2:32">
      <c r="B25" s="35" t="s">
        <v>84</v>
      </c>
      <c r="C25" s="49">
        <v>1.0195130299999999</v>
      </c>
      <c r="D25" s="50">
        <v>0.95320808000000001</v>
      </c>
      <c r="E25" s="50">
        <v>1.0799626200000001</v>
      </c>
      <c r="F25" s="50">
        <v>0.81919096000000002</v>
      </c>
      <c r="G25" s="50">
        <v>1.14086869</v>
      </c>
      <c r="H25" s="50">
        <v>0.97346045999999997</v>
      </c>
      <c r="I25" s="50">
        <v>0.89692099999999997</v>
      </c>
      <c r="J25" s="50">
        <v>0.80496941</v>
      </c>
      <c r="K25" s="50">
        <v>0.84374397999999995</v>
      </c>
      <c r="L25" s="50">
        <v>0</v>
      </c>
      <c r="M25" s="50">
        <v>0</v>
      </c>
      <c r="N25" s="51">
        <v>0</v>
      </c>
      <c r="O25" s="19">
        <f t="shared" si="1"/>
        <v>8.53183823</v>
      </c>
      <c r="AF25" s="9"/>
    </row>
    <row r="26" spans="2:32">
      <c r="B26" s="35" t="s">
        <v>85</v>
      </c>
      <c r="C26" s="49">
        <v>5.0769269100000001</v>
      </c>
      <c r="D26" s="50">
        <v>4.8516964100000006</v>
      </c>
      <c r="E26" s="50">
        <v>5.5652997199999996</v>
      </c>
      <c r="F26" s="50">
        <v>4.9252227600000005</v>
      </c>
      <c r="G26" s="50">
        <v>5.2076764100000004</v>
      </c>
      <c r="H26" s="50">
        <v>5.0897150599999996</v>
      </c>
      <c r="I26" s="50">
        <v>5.036225</v>
      </c>
      <c r="J26" s="50">
        <v>4.4739900200000005</v>
      </c>
      <c r="K26" s="50">
        <v>4.9251538000000004</v>
      </c>
      <c r="L26" s="50">
        <v>0</v>
      </c>
      <c r="M26" s="50">
        <v>0</v>
      </c>
      <c r="N26" s="51">
        <v>0</v>
      </c>
      <c r="O26" s="19">
        <f t="shared" si="1"/>
        <v>45.151906089999997</v>
      </c>
      <c r="AF26" s="9"/>
    </row>
    <row r="27" spans="2:32">
      <c r="B27" s="35" t="s">
        <v>86</v>
      </c>
      <c r="C27" s="49">
        <v>3.3210593099999999</v>
      </c>
      <c r="D27" s="50">
        <v>3.4104876200000001</v>
      </c>
      <c r="E27" s="50">
        <v>5.2912510599999996</v>
      </c>
      <c r="F27" s="50">
        <v>3.6033961099999998</v>
      </c>
      <c r="G27" s="50">
        <v>5.4910992199999997</v>
      </c>
      <c r="H27" s="50">
        <v>4.4973154299999996</v>
      </c>
      <c r="I27" s="50">
        <v>5.7137711900000001</v>
      </c>
      <c r="J27" s="50">
        <v>2.9693745300000001</v>
      </c>
      <c r="K27" s="50">
        <v>2.6487520899999999</v>
      </c>
      <c r="L27" s="50">
        <v>0</v>
      </c>
      <c r="M27" s="50">
        <v>0</v>
      </c>
      <c r="N27" s="51">
        <v>0</v>
      </c>
      <c r="O27" s="19">
        <f t="shared" si="1"/>
        <v>36.946506560000003</v>
      </c>
      <c r="AF27" s="9"/>
    </row>
    <row r="28" spans="2:32">
      <c r="B28" s="35" t="s">
        <v>679</v>
      </c>
      <c r="C28" s="49">
        <v>5.5785611900000003</v>
      </c>
      <c r="D28" s="50">
        <v>7.3168655300000003</v>
      </c>
      <c r="E28" s="50">
        <v>9.9651122610000016</v>
      </c>
      <c r="F28" s="50">
        <v>5.4902533099999999</v>
      </c>
      <c r="G28" s="50">
        <v>5.9080949900000004</v>
      </c>
      <c r="H28" s="50">
        <v>6.3370614400000003</v>
      </c>
      <c r="I28" s="50">
        <v>38.121964799999994</v>
      </c>
      <c r="J28" s="50">
        <v>14.379791640000001</v>
      </c>
      <c r="K28" s="50">
        <v>6.5358599699999997</v>
      </c>
      <c r="L28" s="50">
        <v>59.607599999999998</v>
      </c>
      <c r="M28" s="50">
        <v>15.230199999999998</v>
      </c>
      <c r="N28" s="51">
        <v>34.942900000000002</v>
      </c>
      <c r="O28" s="19">
        <f t="shared" si="1"/>
        <v>209.41426513100001</v>
      </c>
      <c r="AF28" s="9"/>
    </row>
    <row r="29" spans="2:32" ht="24.95" customHeight="1">
      <c r="B29" s="25" t="s">
        <v>88</v>
      </c>
      <c r="C29" s="33">
        <f>SUM(C30:C31)</f>
        <v>0.11488014000000001</v>
      </c>
      <c r="D29" s="34">
        <f t="shared" ref="D29:N29" si="6">SUM(D30:D31)</f>
        <v>0.69019814999999995</v>
      </c>
      <c r="E29" s="34">
        <f t="shared" si="6"/>
        <v>3.55049057</v>
      </c>
      <c r="F29" s="34">
        <f t="shared" si="6"/>
        <v>1.6249028600000002</v>
      </c>
      <c r="G29" s="34">
        <f t="shared" si="6"/>
        <v>2.1334065400000002</v>
      </c>
      <c r="H29" s="34">
        <f t="shared" si="6"/>
        <v>2.4195731399999998</v>
      </c>
      <c r="I29" s="34">
        <f t="shared" si="6"/>
        <v>1.7323374</v>
      </c>
      <c r="J29" s="34">
        <f t="shared" si="6"/>
        <v>0.68505579000000005</v>
      </c>
      <c r="K29" s="34">
        <f t="shared" si="6"/>
        <v>1.3321432199999999</v>
      </c>
      <c r="L29" s="34">
        <f t="shared" si="6"/>
        <v>0.74759999999999993</v>
      </c>
      <c r="M29" s="34">
        <f t="shared" si="6"/>
        <v>0.77710000000000001</v>
      </c>
      <c r="N29" s="22">
        <f t="shared" si="6"/>
        <v>1.2219</v>
      </c>
      <c r="O29" s="22">
        <f t="shared" si="1"/>
        <v>17.029587810000002</v>
      </c>
      <c r="AF29" s="9"/>
    </row>
    <row r="30" spans="2:32">
      <c r="B30" s="35" t="s">
        <v>89</v>
      </c>
      <c r="C30" s="49"/>
      <c r="D30" s="50"/>
      <c r="E30" s="50"/>
      <c r="F30" s="50"/>
      <c r="G30" s="50"/>
      <c r="H30" s="50"/>
      <c r="I30" s="50"/>
      <c r="J30" s="50"/>
      <c r="K30" s="50"/>
      <c r="L30" s="50"/>
      <c r="M30" s="50"/>
      <c r="N30" s="51"/>
      <c r="O30" s="19">
        <f t="shared" si="1"/>
        <v>0</v>
      </c>
      <c r="AF30" s="9"/>
    </row>
    <row r="31" spans="2:32">
      <c r="B31" s="35" t="s">
        <v>90</v>
      </c>
      <c r="C31" s="49">
        <v>0.11488014000000001</v>
      </c>
      <c r="D31" s="50">
        <v>0.69019814999999995</v>
      </c>
      <c r="E31" s="50">
        <v>3.55049057</v>
      </c>
      <c r="F31" s="50">
        <v>1.6249028600000002</v>
      </c>
      <c r="G31" s="50">
        <v>2.1334065400000002</v>
      </c>
      <c r="H31" s="50">
        <v>2.4195731399999998</v>
      </c>
      <c r="I31" s="50">
        <v>1.7323374</v>
      </c>
      <c r="J31" s="50">
        <v>0.68505579000000005</v>
      </c>
      <c r="K31" s="50">
        <v>1.3321432199999999</v>
      </c>
      <c r="L31" s="50">
        <v>0.74759999999999993</v>
      </c>
      <c r="M31" s="50">
        <v>0.77710000000000001</v>
      </c>
      <c r="N31" s="51">
        <v>1.2219</v>
      </c>
      <c r="O31" s="19">
        <f t="shared" si="1"/>
        <v>17.029587810000002</v>
      </c>
      <c r="AF31" s="9"/>
    </row>
    <row r="32" spans="2:32" ht="24.95" customHeight="1">
      <c r="B32" s="38" t="s">
        <v>91</v>
      </c>
      <c r="C32" s="39">
        <f>+C7+C29</f>
        <v>414.93655066000002</v>
      </c>
      <c r="D32" s="40">
        <f t="shared" ref="D32:N32" si="7">+D7+D29</f>
        <v>320.92025097999999</v>
      </c>
      <c r="E32" s="40">
        <f t="shared" si="7"/>
        <v>366.35101263400003</v>
      </c>
      <c r="F32" s="40">
        <f t="shared" si="7"/>
        <v>599.0047533500001</v>
      </c>
      <c r="G32" s="40">
        <f t="shared" si="7"/>
        <v>492.47411417000006</v>
      </c>
      <c r="H32" s="40">
        <f t="shared" si="7"/>
        <v>381.29149204999999</v>
      </c>
      <c r="I32" s="40">
        <f t="shared" si="7"/>
        <v>395.30264426999997</v>
      </c>
      <c r="J32" s="40">
        <f t="shared" si="7"/>
        <v>360.37029783000003</v>
      </c>
      <c r="K32" s="40">
        <f t="shared" si="7"/>
        <v>329.03611851000005</v>
      </c>
      <c r="L32" s="40">
        <f t="shared" si="7"/>
        <v>399.22019999999992</v>
      </c>
      <c r="M32" s="40">
        <f t="shared" si="7"/>
        <v>358.45269999999999</v>
      </c>
      <c r="N32" s="41">
        <f t="shared" si="7"/>
        <v>417.68640000000005</v>
      </c>
      <c r="O32" s="41">
        <f>SUM(C32:N32)</f>
        <v>4835.0465344539989</v>
      </c>
      <c r="AF32" s="9"/>
    </row>
    <row r="33" spans="2:32" ht="8.25" customHeight="1">
      <c r="B33" s="42"/>
      <c r="C33" s="36"/>
      <c r="D33" s="37"/>
      <c r="E33" s="37"/>
      <c r="F33" s="37"/>
      <c r="G33" s="37"/>
      <c r="H33" s="37"/>
      <c r="I33" s="37"/>
      <c r="J33" s="37"/>
      <c r="K33" s="37"/>
      <c r="L33" s="37"/>
      <c r="M33" s="37"/>
      <c r="N33" s="19"/>
      <c r="O33" s="19"/>
      <c r="AF33" s="9"/>
    </row>
    <row r="34" spans="2:32" ht="24.95" customHeight="1">
      <c r="B34" s="25" t="s">
        <v>92</v>
      </c>
      <c r="C34" s="33">
        <f>SUM(C35:C36)</f>
        <v>7.3082414999999994</v>
      </c>
      <c r="D34" s="34">
        <f t="shared" ref="D34:N34" si="8">SUM(D35:D36)</f>
        <v>3.19363799</v>
      </c>
      <c r="E34" s="34">
        <f t="shared" si="8"/>
        <v>3.9490791700000005</v>
      </c>
      <c r="F34" s="34">
        <f t="shared" si="8"/>
        <v>4.077108270000001</v>
      </c>
      <c r="G34" s="34">
        <f t="shared" si="8"/>
        <v>11.46915181</v>
      </c>
      <c r="H34" s="34">
        <f t="shared" si="8"/>
        <v>9.9371183700000003</v>
      </c>
      <c r="I34" s="34">
        <f t="shared" si="8"/>
        <v>4.41255123</v>
      </c>
      <c r="J34" s="34">
        <f t="shared" si="8"/>
        <v>5.9203344600000003</v>
      </c>
      <c r="K34" s="34">
        <f t="shared" si="8"/>
        <v>2.8613351499999999</v>
      </c>
      <c r="L34" s="34">
        <f t="shared" si="8"/>
        <v>6.9328043099999999</v>
      </c>
      <c r="M34" s="34">
        <f t="shared" si="8"/>
        <v>19.083639570000003</v>
      </c>
      <c r="N34" s="22">
        <f t="shared" si="8"/>
        <v>3.9394642499999999</v>
      </c>
      <c r="O34" s="22">
        <f>SUM(C34:N34)</f>
        <v>83.084466080000013</v>
      </c>
      <c r="AF34" s="9"/>
    </row>
    <row r="35" spans="2:32">
      <c r="B35" s="43" t="s">
        <v>93</v>
      </c>
      <c r="C35" s="49">
        <v>2.3882414999999999</v>
      </c>
      <c r="D35" s="50"/>
      <c r="E35" s="50"/>
      <c r="F35" s="50"/>
      <c r="G35" s="50">
        <v>5.00461621</v>
      </c>
      <c r="H35" s="50">
        <v>6.5037935400000002</v>
      </c>
      <c r="I35" s="50">
        <v>0.62249778</v>
      </c>
      <c r="J35" s="50">
        <v>0.47614546000000002</v>
      </c>
      <c r="K35" s="50">
        <v>1.22566807</v>
      </c>
      <c r="L35" s="50">
        <v>4.7240015399999997</v>
      </c>
      <c r="M35" s="50">
        <v>17.017781280000001</v>
      </c>
      <c r="N35" s="51">
        <v>1.6169946099999999</v>
      </c>
      <c r="O35" s="19">
        <f>SUM(C35:N35)</f>
        <v>39.57973999</v>
      </c>
      <c r="AF35" s="9"/>
    </row>
    <row r="36" spans="2:32">
      <c r="B36" s="44" t="s">
        <v>94</v>
      </c>
      <c r="C36" s="52">
        <v>4.92</v>
      </c>
      <c r="D36" s="53">
        <v>3.19363799</v>
      </c>
      <c r="E36" s="53">
        <v>3.9490791700000005</v>
      </c>
      <c r="F36" s="53">
        <v>4.077108270000001</v>
      </c>
      <c r="G36" s="53">
        <v>6.4645355999999996</v>
      </c>
      <c r="H36" s="53">
        <v>3.4333248300000001</v>
      </c>
      <c r="I36" s="53">
        <v>3.7900534500000003</v>
      </c>
      <c r="J36" s="53">
        <v>5.4441890000000006</v>
      </c>
      <c r="K36" s="53">
        <v>1.6356670799999999</v>
      </c>
      <c r="L36" s="53">
        <v>2.2088027700000001</v>
      </c>
      <c r="M36" s="53">
        <v>2.06585829</v>
      </c>
      <c r="N36" s="54">
        <v>2.32246964</v>
      </c>
      <c r="O36" s="47">
        <f>SUM(C36:N36)</f>
        <v>43.504726089999998</v>
      </c>
      <c r="AF36" s="9"/>
    </row>
    <row r="37" spans="2:32">
      <c r="B37" s="767" t="s">
        <v>95</v>
      </c>
      <c r="C37" s="767"/>
      <c r="D37" s="767"/>
      <c r="E37" s="767"/>
      <c r="F37" s="767"/>
      <c r="G37" s="767"/>
      <c r="H37" s="767"/>
      <c r="I37" s="767"/>
      <c r="J37" s="767"/>
      <c r="K37" s="767"/>
      <c r="L37" s="767"/>
      <c r="M37" s="767"/>
      <c r="N37" s="767"/>
      <c r="O37" s="767"/>
      <c r="AF37" s="9"/>
    </row>
    <row r="38" spans="2:32">
      <c r="B38" s="48" t="s">
        <v>694</v>
      </c>
      <c r="C38" s="2"/>
      <c r="D38" s="2"/>
      <c r="E38" s="2"/>
      <c r="F38" s="2"/>
      <c r="G38" s="2"/>
      <c r="H38" s="2"/>
      <c r="I38" s="2"/>
      <c r="J38" s="2"/>
      <c r="K38" s="2"/>
      <c r="L38" s="2"/>
      <c r="M38" s="2"/>
      <c r="N38" s="2"/>
      <c r="O38" s="2"/>
    </row>
    <row r="39" spans="2:32">
      <c r="B39" s="768" t="s">
        <v>108</v>
      </c>
      <c r="C39" s="768"/>
      <c r="D39" s="768"/>
      <c r="E39" s="768"/>
      <c r="F39" s="768"/>
      <c r="G39" s="768"/>
      <c r="H39" s="768"/>
      <c r="I39" s="768"/>
      <c r="J39" s="768"/>
      <c r="K39" s="768"/>
      <c r="L39" s="768"/>
      <c r="M39" s="768"/>
      <c r="N39" s="768"/>
      <c r="O39" s="768"/>
    </row>
    <row r="40" spans="2:32" ht="15.75" customHeight="1">
      <c r="B40" s="768" t="s">
        <v>680</v>
      </c>
      <c r="C40" s="768"/>
      <c r="D40" s="768"/>
      <c r="E40" s="768"/>
      <c r="F40" s="768"/>
      <c r="G40" s="768"/>
      <c r="H40" s="768"/>
      <c r="I40" s="768"/>
      <c r="J40" s="768"/>
      <c r="K40" s="768"/>
      <c r="L40" s="768"/>
      <c r="M40" s="768"/>
      <c r="N40" s="768"/>
      <c r="O40" s="768"/>
    </row>
    <row r="41" spans="2:32">
      <c r="B41" s="9"/>
    </row>
    <row r="42" spans="2:32">
      <c r="B42" s="9"/>
    </row>
  </sheetData>
  <mergeCells count="3">
    <mergeCell ref="B37:O37"/>
    <mergeCell ref="B39:O39"/>
    <mergeCell ref="B40:O40"/>
  </mergeCells>
  <printOptions horizontalCentered="1"/>
  <pageMargins left="0.7" right="0.7" top="0.75" bottom="0.75" header="0.3" footer="0.3"/>
  <pageSetup scale="7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2"/>
  <sheetViews>
    <sheetView topLeftCell="A4" workbookViewId="0">
      <selection activeCell="B16" sqref="B16"/>
    </sheetView>
  </sheetViews>
  <sheetFormatPr baseColWidth="10" defaultRowHeight="15"/>
  <cols>
    <col min="1" max="1" width="1.85546875" customWidth="1"/>
    <col min="2" max="2" width="51" customWidth="1"/>
    <col min="3" max="14" width="8.28515625" customWidth="1"/>
    <col min="15" max="15" width="10.5703125" customWidth="1"/>
    <col min="16" max="16" width="2.7109375" customWidth="1"/>
    <col min="18" max="31" width="11.42578125" hidden="1" customWidth="1"/>
  </cols>
  <sheetData>
    <row r="2" spans="2:32">
      <c r="B2" t="s">
        <v>18</v>
      </c>
    </row>
    <row r="3" spans="2:32">
      <c r="B3" t="s">
        <v>721</v>
      </c>
      <c r="C3" s="9"/>
      <c r="D3" s="9"/>
      <c r="E3" s="9"/>
      <c r="F3" s="9"/>
      <c r="G3" s="9"/>
      <c r="H3" s="9"/>
      <c r="I3" s="9"/>
      <c r="J3" s="9"/>
      <c r="K3" s="9"/>
      <c r="L3" s="9"/>
      <c r="M3" s="9"/>
      <c r="N3" s="9"/>
    </row>
    <row r="4" spans="2:32">
      <c r="B4" t="s">
        <v>19</v>
      </c>
      <c r="C4" s="9"/>
      <c r="D4" s="9"/>
      <c r="E4" s="9"/>
      <c r="F4" s="9"/>
      <c r="G4" s="9"/>
      <c r="H4" s="9"/>
      <c r="I4" s="9"/>
      <c r="J4" s="9"/>
      <c r="K4" s="9"/>
      <c r="L4" s="9"/>
      <c r="M4" s="9"/>
      <c r="N4" s="9"/>
    </row>
    <row r="6" spans="2:32"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2018</v>
      </c>
      <c r="AF6" s="9"/>
    </row>
    <row r="7" spans="2:32" ht="24.95" customHeight="1">
      <c r="B7" s="25" t="s">
        <v>71</v>
      </c>
      <c r="C7" s="33">
        <f>C8+C22</f>
        <v>445.08512298000005</v>
      </c>
      <c r="D7" s="34">
        <f>+D8+D22</f>
        <v>369.54667651000005</v>
      </c>
      <c r="E7" s="34">
        <f t="shared" ref="E7:M7" si="0">+E8+E22</f>
        <v>373.50115957000003</v>
      </c>
      <c r="F7" s="34">
        <f t="shared" si="0"/>
        <v>812.99621274900005</v>
      </c>
      <c r="G7" s="34">
        <f t="shared" si="0"/>
        <v>367.87499381000003</v>
      </c>
      <c r="H7" s="34">
        <f t="shared" si="0"/>
        <v>371.57980012000002</v>
      </c>
      <c r="I7" s="34">
        <f t="shared" si="0"/>
        <v>400.81604575</v>
      </c>
      <c r="J7" s="34">
        <f t="shared" si="0"/>
        <v>383.25454113999996</v>
      </c>
      <c r="K7" s="34">
        <f t="shared" si="0"/>
        <v>361.78899135</v>
      </c>
      <c r="L7" s="34">
        <f t="shared" si="0"/>
        <v>381.44264780000003</v>
      </c>
      <c r="M7" s="34">
        <f t="shared" si="0"/>
        <v>373.59456928999998</v>
      </c>
      <c r="N7" s="22">
        <f>+N8+N22</f>
        <v>401.2559208699999</v>
      </c>
      <c r="O7" s="22">
        <f t="shared" ref="O7:O31" si="1">SUM(C7:N7)</f>
        <v>5042.7366819389999</v>
      </c>
      <c r="AF7" s="9"/>
    </row>
    <row r="8" spans="2:32" ht="24.95" customHeight="1">
      <c r="B8" s="15" t="s">
        <v>72</v>
      </c>
      <c r="C8" s="33">
        <f>SUM(C9:C14)</f>
        <v>431.26347661000005</v>
      </c>
      <c r="D8" s="34">
        <f t="shared" ref="D8:N8" si="2">SUM(D9:D14)</f>
        <v>337.62567569000004</v>
      </c>
      <c r="E8" s="34">
        <f t="shared" si="2"/>
        <v>354.02883563</v>
      </c>
      <c r="F8" s="34">
        <f t="shared" si="2"/>
        <v>789.95109948900006</v>
      </c>
      <c r="G8" s="34">
        <f t="shared" si="2"/>
        <v>349.71272709000004</v>
      </c>
      <c r="H8" s="34">
        <f t="shared" si="2"/>
        <v>354.9273</v>
      </c>
      <c r="I8" s="34">
        <f t="shared" si="2"/>
        <v>367.14285868000002</v>
      </c>
      <c r="J8" s="34">
        <f t="shared" si="2"/>
        <v>365.87977171999995</v>
      </c>
      <c r="K8" s="34">
        <f t="shared" si="2"/>
        <v>340.52541669999999</v>
      </c>
      <c r="L8" s="34">
        <f t="shared" si="2"/>
        <v>366.79836201000001</v>
      </c>
      <c r="M8" s="34">
        <f t="shared" si="2"/>
        <v>359.79172616</v>
      </c>
      <c r="N8" s="22">
        <f t="shared" si="2"/>
        <v>351.65469999999988</v>
      </c>
      <c r="O8" s="22">
        <f t="shared" si="1"/>
        <v>4769.3019497790001</v>
      </c>
      <c r="AF8" s="9"/>
    </row>
    <row r="9" spans="2:32">
      <c r="B9" s="35" t="s">
        <v>73</v>
      </c>
      <c r="C9" s="49">
        <v>192.33269999999999</v>
      </c>
      <c r="D9" s="50">
        <v>163.83519999999999</v>
      </c>
      <c r="E9" s="50">
        <v>170.29765406999999</v>
      </c>
      <c r="F9" s="50">
        <v>179.86254922900002</v>
      </c>
      <c r="G9" s="50">
        <v>172.92253839</v>
      </c>
      <c r="H9" s="50">
        <v>178.1773</v>
      </c>
      <c r="I9" s="50">
        <v>177.58320000000001</v>
      </c>
      <c r="J9" s="50">
        <v>177.04950442000001</v>
      </c>
      <c r="K9" s="50">
        <v>165.33005396999999</v>
      </c>
      <c r="L9" s="50">
        <v>180.5284</v>
      </c>
      <c r="M9" s="50">
        <v>174.83473425</v>
      </c>
      <c r="N9" s="51">
        <v>170.62979999999999</v>
      </c>
      <c r="O9" s="19">
        <f t="shared" si="1"/>
        <v>2103.383634329</v>
      </c>
      <c r="R9" s="55"/>
      <c r="AE9" s="55"/>
      <c r="AF9" s="9"/>
    </row>
    <row r="10" spans="2:32">
      <c r="B10" s="35" t="s">
        <v>24</v>
      </c>
      <c r="C10" s="49">
        <v>176.9933</v>
      </c>
      <c r="D10" s="50">
        <v>116.3788</v>
      </c>
      <c r="E10" s="50">
        <v>125.97936349</v>
      </c>
      <c r="F10" s="50">
        <v>480.20416574000001</v>
      </c>
      <c r="G10" s="50">
        <v>116.86948554</v>
      </c>
      <c r="H10" s="50">
        <v>116.9986</v>
      </c>
      <c r="I10" s="50">
        <v>128.77298199999998</v>
      </c>
      <c r="J10" s="50">
        <v>125.02595211000001</v>
      </c>
      <c r="K10" s="50">
        <v>116.13873101000001</v>
      </c>
      <c r="L10" s="50">
        <v>119.84156172</v>
      </c>
      <c r="M10" s="50">
        <v>118.80422718999999</v>
      </c>
      <c r="N10" s="51">
        <v>117.77209999999999</v>
      </c>
      <c r="O10" s="19">
        <f t="shared" si="1"/>
        <v>1859.7792688</v>
      </c>
      <c r="R10" t="s">
        <v>105</v>
      </c>
      <c r="S10">
        <v>2.0036266600000001</v>
      </c>
      <c r="T10">
        <v>1.7893525400000001</v>
      </c>
      <c r="U10">
        <v>2.1956950800000001</v>
      </c>
      <c r="V10">
        <v>1.5391872</v>
      </c>
      <c r="W10">
        <v>1.5806</v>
      </c>
      <c r="X10">
        <v>2.2824</v>
      </c>
      <c r="AE10" s="55">
        <f>SUM(S10:AD10)</f>
        <v>11.390861480000002</v>
      </c>
      <c r="AF10" s="9"/>
    </row>
    <row r="11" spans="2:32">
      <c r="B11" s="35" t="s">
        <v>27</v>
      </c>
      <c r="C11" s="49">
        <v>17.235199999999999</v>
      </c>
      <c r="D11" s="50">
        <v>16.258099999999999</v>
      </c>
      <c r="E11" s="50">
        <v>17.325359649999999</v>
      </c>
      <c r="F11" s="50">
        <v>17.550917729999998</v>
      </c>
      <c r="G11" s="50">
        <v>18.4324403</v>
      </c>
      <c r="H11" s="50">
        <v>18.486899999999999</v>
      </c>
      <c r="I11" s="50">
        <v>19.523299999999999</v>
      </c>
      <c r="J11" s="50">
        <v>20.186310979999998</v>
      </c>
      <c r="K11" s="50">
        <v>18.61599812</v>
      </c>
      <c r="L11" s="50">
        <v>22.386099999999999</v>
      </c>
      <c r="M11" s="50">
        <v>22.31268206</v>
      </c>
      <c r="N11" s="51">
        <v>19.1081</v>
      </c>
      <c r="O11" s="19">
        <f t="shared" si="1"/>
        <v>227.42140884</v>
      </c>
      <c r="R11" t="s">
        <v>106</v>
      </c>
      <c r="S11">
        <v>9.739268580000001</v>
      </c>
      <c r="T11">
        <v>8.3760058000000015</v>
      </c>
      <c r="U11">
        <v>7.8996543700000004</v>
      </c>
      <c r="V11">
        <v>8.5065343999999996</v>
      </c>
      <c r="W11">
        <v>7.6777999999999995</v>
      </c>
      <c r="X11">
        <v>8.6527999999999992</v>
      </c>
      <c r="Y11">
        <v>0</v>
      </c>
      <c r="Z11">
        <v>0</v>
      </c>
      <c r="AA11">
        <v>0</v>
      </c>
      <c r="AB11">
        <v>0</v>
      </c>
      <c r="AC11">
        <v>0</v>
      </c>
      <c r="AD11">
        <v>0</v>
      </c>
      <c r="AE11" s="55">
        <f>SUM(S11:AD11)</f>
        <v>50.852063149999999</v>
      </c>
      <c r="AF11" s="9"/>
    </row>
    <row r="12" spans="2:32">
      <c r="B12" s="35" t="s">
        <v>74</v>
      </c>
      <c r="C12" s="49">
        <v>16.361384879999999</v>
      </c>
      <c r="D12" s="50">
        <v>12.8104</v>
      </c>
      <c r="E12" s="50">
        <v>13.351204119999998</v>
      </c>
      <c r="F12" s="50">
        <v>16.274781959999999</v>
      </c>
      <c r="G12" s="50">
        <v>13.664811699999998</v>
      </c>
      <c r="H12" s="50">
        <v>14.4529</v>
      </c>
      <c r="I12" s="50">
        <v>14.288829999999999</v>
      </c>
      <c r="J12" s="50">
        <v>15.68326637</v>
      </c>
      <c r="K12" s="50">
        <v>13.431169930000001</v>
      </c>
      <c r="L12" s="50">
        <v>14.9217</v>
      </c>
      <c r="M12" s="50">
        <v>16.02136565</v>
      </c>
      <c r="N12" s="51">
        <v>16.710900000000002</v>
      </c>
      <c r="O12" s="19">
        <f t="shared" si="1"/>
        <v>177.97271461</v>
      </c>
      <c r="AF12" s="9"/>
    </row>
    <row r="13" spans="2:32">
      <c r="B13" s="35" t="s">
        <v>75</v>
      </c>
      <c r="C13" s="49">
        <v>11.30815539</v>
      </c>
      <c r="D13" s="50">
        <v>10.596300000000001</v>
      </c>
      <c r="E13" s="50">
        <v>10.34339568</v>
      </c>
      <c r="F13" s="50">
        <v>9.9620098800000001</v>
      </c>
      <c r="G13" s="50">
        <v>11.167183790000001</v>
      </c>
      <c r="H13" s="50">
        <v>11.500800000000002</v>
      </c>
      <c r="I13" s="50">
        <v>10.8992</v>
      </c>
      <c r="J13" s="50">
        <v>11.034458000000001</v>
      </c>
      <c r="K13" s="50">
        <v>10.45522637</v>
      </c>
      <c r="L13" s="50">
        <v>10.808599999999998</v>
      </c>
      <c r="M13" s="50">
        <v>11.522139930000002</v>
      </c>
      <c r="N13" s="51">
        <v>10.8348</v>
      </c>
      <c r="O13" s="19">
        <f t="shared" si="1"/>
        <v>130.43226904000002</v>
      </c>
      <c r="S13">
        <f>+S10+S11</f>
        <v>11.742895240000001</v>
      </c>
      <c r="T13">
        <f t="shared" ref="T13:AD13" si="3">+T10+T11</f>
        <v>10.165358340000001</v>
      </c>
      <c r="U13">
        <f t="shared" si="3"/>
        <v>10.095349450000001</v>
      </c>
      <c r="V13">
        <f t="shared" si="3"/>
        <v>10.0457216</v>
      </c>
      <c r="W13">
        <f t="shared" si="3"/>
        <v>9.2584</v>
      </c>
      <c r="X13">
        <f t="shared" si="3"/>
        <v>10.935199999999998</v>
      </c>
      <c r="Y13">
        <f t="shared" si="3"/>
        <v>0</v>
      </c>
      <c r="Z13">
        <f t="shared" si="3"/>
        <v>0</v>
      </c>
      <c r="AA13">
        <f t="shared" si="3"/>
        <v>0</v>
      </c>
      <c r="AB13">
        <f t="shared" si="3"/>
        <v>0</v>
      </c>
      <c r="AC13">
        <f t="shared" si="3"/>
        <v>0</v>
      </c>
      <c r="AD13">
        <f t="shared" si="3"/>
        <v>0</v>
      </c>
      <c r="AE13" s="55">
        <f>SUM(S13:AD13)</f>
        <v>62.242924630000005</v>
      </c>
      <c r="AF13" s="9"/>
    </row>
    <row r="14" spans="2:32">
      <c r="B14" s="35" t="s">
        <v>76</v>
      </c>
      <c r="C14" s="49">
        <f>SUM(C15:C21)</f>
        <v>17.03273634</v>
      </c>
      <c r="D14" s="50">
        <f t="shared" ref="D14:N14" si="4">SUM(D15:D21)</f>
        <v>17.74687569</v>
      </c>
      <c r="E14" s="50">
        <f t="shared" si="4"/>
        <v>16.731858620000001</v>
      </c>
      <c r="F14" s="50">
        <f t="shared" si="4"/>
        <v>86.096674950000008</v>
      </c>
      <c r="G14" s="50">
        <f t="shared" si="4"/>
        <v>16.656267369999998</v>
      </c>
      <c r="H14" s="50">
        <f t="shared" si="4"/>
        <v>15.310799999999999</v>
      </c>
      <c r="I14" s="50">
        <f t="shared" si="4"/>
        <v>16.075346679999999</v>
      </c>
      <c r="J14" s="50">
        <f t="shared" si="4"/>
        <v>16.90027984</v>
      </c>
      <c r="K14" s="50">
        <f t="shared" si="4"/>
        <v>16.5542373</v>
      </c>
      <c r="L14" s="50">
        <f t="shared" si="4"/>
        <v>18.312000289999997</v>
      </c>
      <c r="M14" s="50">
        <f t="shared" si="4"/>
        <v>16.296577079999999</v>
      </c>
      <c r="N14" s="51">
        <f t="shared" si="4"/>
        <v>16.599</v>
      </c>
      <c r="O14" s="19">
        <f t="shared" si="1"/>
        <v>270.31265415999997</v>
      </c>
      <c r="AF14" s="9"/>
    </row>
    <row r="15" spans="2:32">
      <c r="B15" s="17" t="s">
        <v>77</v>
      </c>
      <c r="C15" s="49">
        <v>7.9833999999999996</v>
      </c>
      <c r="D15" s="50">
        <v>8.3390000000000004</v>
      </c>
      <c r="E15" s="50">
        <v>7.1247775000000004</v>
      </c>
      <c r="F15" s="50">
        <v>8.7913999999999994</v>
      </c>
      <c r="G15" s="50">
        <v>7.5223996199999998</v>
      </c>
      <c r="H15" s="50">
        <v>6.9097</v>
      </c>
      <c r="I15" s="50">
        <v>7.1702000000000004</v>
      </c>
      <c r="J15" s="50">
        <v>7.7160399999999996</v>
      </c>
      <c r="K15" s="50">
        <v>7.6234752200000004</v>
      </c>
      <c r="L15" s="50">
        <v>8.3638999999999992</v>
      </c>
      <c r="M15" s="50">
        <v>7.4984420099999998</v>
      </c>
      <c r="N15" s="51">
        <v>7.7839999999999998</v>
      </c>
      <c r="O15" s="19">
        <f t="shared" si="1"/>
        <v>92.826734350000024</v>
      </c>
      <c r="AF15" s="9"/>
    </row>
    <row r="16" spans="2:32">
      <c r="B16" s="17" t="s">
        <v>78</v>
      </c>
      <c r="C16" s="49">
        <v>0</v>
      </c>
      <c r="D16" s="50">
        <v>0</v>
      </c>
      <c r="E16" s="50">
        <v>0.20379843</v>
      </c>
      <c r="F16" s="50">
        <v>0.35832659</v>
      </c>
      <c r="G16" s="50">
        <v>7.1000000000000004E-3</v>
      </c>
      <c r="H16" s="50">
        <v>0</v>
      </c>
      <c r="I16" s="50">
        <v>0.29705500000000001</v>
      </c>
      <c r="J16" s="50">
        <v>0</v>
      </c>
      <c r="K16" s="50">
        <v>0</v>
      </c>
      <c r="L16" s="50">
        <v>0.29705503</v>
      </c>
      <c r="M16" s="50">
        <v>0</v>
      </c>
      <c r="N16" s="51">
        <v>0</v>
      </c>
      <c r="O16" s="19">
        <f t="shared" si="1"/>
        <v>1.1633350500000001</v>
      </c>
      <c r="AF16" s="9"/>
    </row>
    <row r="17" spans="2:32">
      <c r="B17" s="17" t="s">
        <v>79</v>
      </c>
      <c r="C17" s="49">
        <v>0.72683900000000001</v>
      </c>
      <c r="D17" s="50">
        <v>0.98777568999999998</v>
      </c>
      <c r="E17" s="50">
        <v>0.94021153999999996</v>
      </c>
      <c r="F17" s="50">
        <v>1.0706</v>
      </c>
      <c r="G17" s="50">
        <v>1.0494033300000001</v>
      </c>
      <c r="H17" s="50">
        <v>0.97250000000000003</v>
      </c>
      <c r="I17" s="50">
        <v>0.92158174000000004</v>
      </c>
      <c r="J17" s="50">
        <v>1.05627059</v>
      </c>
      <c r="K17" s="50">
        <v>1.04567053</v>
      </c>
      <c r="L17" s="50">
        <v>1.0079</v>
      </c>
      <c r="M17" s="50">
        <v>0.99675404000000001</v>
      </c>
      <c r="N17" s="51">
        <v>0.97489999999999999</v>
      </c>
      <c r="O17" s="19">
        <f t="shared" si="1"/>
        <v>11.750406460000001</v>
      </c>
      <c r="AF17" s="9"/>
    </row>
    <row r="18" spans="2:32">
      <c r="B18" s="17" t="s">
        <v>80</v>
      </c>
      <c r="C18" s="49">
        <v>4.0125289999999998</v>
      </c>
      <c r="D18" s="50">
        <v>4.1756000000000002</v>
      </c>
      <c r="E18" s="50">
        <v>3.5870787499999999</v>
      </c>
      <c r="F18" s="50">
        <v>4.4226000000000001</v>
      </c>
      <c r="G18" s="50">
        <v>3.7776497999999998</v>
      </c>
      <c r="H18" s="50">
        <v>3.4569000000000001</v>
      </c>
      <c r="I18" s="50">
        <v>3.603405</v>
      </c>
      <c r="J18" s="50">
        <v>3.8807700000000001</v>
      </c>
      <c r="K18" s="50">
        <v>3.82078761</v>
      </c>
      <c r="L18" s="50">
        <v>4.2018000000000004</v>
      </c>
      <c r="M18" s="50">
        <v>3.777571</v>
      </c>
      <c r="N18" s="51">
        <v>3.9131</v>
      </c>
      <c r="O18" s="19">
        <f t="shared" si="1"/>
        <v>46.629791159999996</v>
      </c>
      <c r="S18" s="9"/>
      <c r="T18" s="9"/>
      <c r="U18" s="9"/>
      <c r="V18" s="9"/>
      <c r="W18" s="9"/>
      <c r="X18" s="9"/>
      <c r="Y18" s="9"/>
      <c r="Z18" s="9"/>
      <c r="AA18" s="9"/>
      <c r="AB18" s="9"/>
      <c r="AC18" s="9"/>
      <c r="AD18" s="9"/>
      <c r="AE18" s="9"/>
      <c r="AF18" s="9"/>
    </row>
    <row r="19" spans="2:32">
      <c r="B19" s="17" t="s">
        <v>48</v>
      </c>
      <c r="C19" s="49"/>
      <c r="D19" s="50"/>
      <c r="E19" s="50"/>
      <c r="F19" s="50"/>
      <c r="G19" s="50"/>
      <c r="H19" s="50"/>
      <c r="I19" s="50"/>
      <c r="J19" s="50"/>
      <c r="K19" s="50"/>
      <c r="L19" s="50"/>
      <c r="M19" s="50"/>
      <c r="N19" s="51"/>
      <c r="O19" s="19">
        <f t="shared" si="1"/>
        <v>0</v>
      </c>
      <c r="S19" s="9"/>
      <c r="T19" s="9"/>
      <c r="U19" s="9"/>
      <c r="V19" s="9"/>
      <c r="W19" s="9"/>
      <c r="X19" s="9"/>
      <c r="Y19" s="9"/>
      <c r="Z19" s="9"/>
      <c r="AA19" s="9"/>
      <c r="AB19" s="9"/>
      <c r="AC19" s="9"/>
      <c r="AD19" s="9"/>
      <c r="AE19" s="9"/>
      <c r="AF19" s="9"/>
    </row>
    <row r="20" spans="2:32">
      <c r="B20" s="17" t="s">
        <v>110</v>
      </c>
      <c r="C20" s="49">
        <v>4.30451461</v>
      </c>
      <c r="D20" s="50">
        <v>3.9009</v>
      </c>
      <c r="E20" s="50">
        <v>3.0414313700000002</v>
      </c>
      <c r="F20" s="50">
        <v>4.4608489899999997</v>
      </c>
      <c r="G20" s="50">
        <v>3.9894165099999999</v>
      </c>
      <c r="H20" s="50">
        <v>3.9615999999999998</v>
      </c>
      <c r="I20" s="50">
        <v>4.0829959999999996</v>
      </c>
      <c r="J20" s="50">
        <v>4.1947262500000004</v>
      </c>
      <c r="K20" s="50">
        <v>4.0613376499999996</v>
      </c>
      <c r="L20" s="50">
        <v>4.4400210900000001</v>
      </c>
      <c r="M20" s="50">
        <v>4.0238100299999999</v>
      </c>
      <c r="N20" s="51">
        <v>3.9009</v>
      </c>
      <c r="O20" s="19">
        <f t="shared" si="1"/>
        <v>48.362502499999998</v>
      </c>
      <c r="S20" s="9"/>
      <c r="T20" s="9"/>
      <c r="U20" s="9"/>
      <c r="V20" s="9"/>
      <c r="W20" s="9"/>
      <c r="X20" s="9"/>
      <c r="Y20" s="9"/>
      <c r="Z20" s="9"/>
      <c r="AA20" s="9"/>
      <c r="AB20" s="9"/>
      <c r="AC20" s="9"/>
      <c r="AD20" s="9"/>
      <c r="AE20" s="9"/>
      <c r="AF20" s="9"/>
    </row>
    <row r="21" spans="2:32">
      <c r="B21" s="17" t="s">
        <v>111</v>
      </c>
      <c r="C21" s="49">
        <v>5.4537300000000004E-3</v>
      </c>
      <c r="D21" s="50">
        <v>0.34360000000000002</v>
      </c>
      <c r="E21" s="50">
        <v>1.8345610299999999</v>
      </c>
      <c r="F21" s="50">
        <v>66.992899370000004</v>
      </c>
      <c r="G21" s="50">
        <v>0.31029811000000002</v>
      </c>
      <c r="H21" s="50">
        <v>1.01E-2</v>
      </c>
      <c r="I21" s="50">
        <v>1.0894E-4</v>
      </c>
      <c r="J21" s="50">
        <v>5.2472999999999999E-2</v>
      </c>
      <c r="K21" s="50">
        <v>2.9662899999999999E-3</v>
      </c>
      <c r="L21" s="50">
        <v>1.3241699999999999E-3</v>
      </c>
      <c r="M21" s="50"/>
      <c r="N21" s="51">
        <v>2.6100000000000002E-2</v>
      </c>
      <c r="O21" s="19">
        <f t="shared" si="1"/>
        <v>69.579884640000017</v>
      </c>
      <c r="S21" s="9"/>
      <c r="T21" s="9"/>
      <c r="U21" s="9"/>
      <c r="V21" s="9"/>
      <c r="W21" s="9"/>
      <c r="X21" s="9"/>
      <c r="Y21" s="9"/>
      <c r="Z21" s="9"/>
      <c r="AA21" s="9"/>
      <c r="AB21" s="9"/>
      <c r="AC21" s="9"/>
      <c r="AD21" s="9"/>
      <c r="AE21" s="9"/>
      <c r="AF21" s="9"/>
    </row>
    <row r="22" spans="2:32" ht="24.95" customHeight="1">
      <c r="B22" s="15" t="s">
        <v>81</v>
      </c>
      <c r="C22" s="681">
        <f>SUM(C23:C28)</f>
        <v>13.82164637</v>
      </c>
      <c r="D22" s="682">
        <f t="shared" ref="D22:N22" si="5">SUM(D23:D28)</f>
        <v>31.921000820000003</v>
      </c>
      <c r="E22" s="682">
        <f t="shared" si="5"/>
        <v>19.472323940000003</v>
      </c>
      <c r="F22" s="682">
        <f t="shared" si="5"/>
        <v>23.045113260000001</v>
      </c>
      <c r="G22" s="682">
        <f t="shared" si="5"/>
        <v>18.162266719999998</v>
      </c>
      <c r="H22" s="682">
        <f t="shared" si="5"/>
        <v>16.652500119999999</v>
      </c>
      <c r="I22" s="682">
        <f t="shared" si="5"/>
        <v>33.673187069999997</v>
      </c>
      <c r="J22" s="682">
        <f t="shared" si="5"/>
        <v>17.37476942</v>
      </c>
      <c r="K22" s="682">
        <f t="shared" si="5"/>
        <v>21.263574649999999</v>
      </c>
      <c r="L22" s="682">
        <f t="shared" si="5"/>
        <v>14.64428579</v>
      </c>
      <c r="M22" s="682">
        <f t="shared" si="5"/>
        <v>13.802843129999999</v>
      </c>
      <c r="N22" s="603">
        <f t="shared" si="5"/>
        <v>49.601220869999999</v>
      </c>
      <c r="O22" s="22">
        <f t="shared" si="1"/>
        <v>273.43473216000001</v>
      </c>
      <c r="AF22" s="9"/>
    </row>
    <row r="23" spans="2:32">
      <c r="B23" s="35" t="s">
        <v>82</v>
      </c>
      <c r="C23" s="49">
        <v>0.33378043000000002</v>
      </c>
      <c r="D23" s="50">
        <v>0.42136334999999997</v>
      </c>
      <c r="E23" s="50">
        <v>0.38734047000000005</v>
      </c>
      <c r="F23" s="50">
        <v>0.36383004999999996</v>
      </c>
      <c r="G23" s="50">
        <v>0.40543878</v>
      </c>
      <c r="H23" s="50">
        <v>0.43318867999999999</v>
      </c>
      <c r="I23" s="50">
        <v>0.63495855999999995</v>
      </c>
      <c r="J23" s="50">
        <v>0.41580404000000004</v>
      </c>
      <c r="K23" s="50">
        <v>0.41780402</v>
      </c>
      <c r="L23" s="50">
        <v>0.41816902</v>
      </c>
      <c r="M23" s="50">
        <v>0.40990711000000002</v>
      </c>
      <c r="N23" s="51">
        <v>0</v>
      </c>
      <c r="O23" s="19">
        <f t="shared" si="1"/>
        <v>4.6415845099999995</v>
      </c>
      <c r="AF23" s="9"/>
    </row>
    <row r="24" spans="2:32">
      <c r="B24" s="35" t="s">
        <v>83</v>
      </c>
      <c r="C24" s="49">
        <v>0</v>
      </c>
      <c r="D24" s="50">
        <v>0</v>
      </c>
      <c r="E24" s="50">
        <v>0</v>
      </c>
      <c r="F24" s="50">
        <v>0</v>
      </c>
      <c r="G24" s="50">
        <v>0</v>
      </c>
      <c r="H24" s="50">
        <v>0</v>
      </c>
      <c r="I24" s="50">
        <v>0</v>
      </c>
      <c r="J24" s="50">
        <v>0</v>
      </c>
      <c r="K24" s="50">
        <v>0</v>
      </c>
      <c r="L24" s="50">
        <v>0</v>
      </c>
      <c r="M24" s="50">
        <v>0</v>
      </c>
      <c r="N24" s="51">
        <v>17.906020869999999</v>
      </c>
      <c r="O24" s="19">
        <f t="shared" si="1"/>
        <v>17.906020869999999</v>
      </c>
      <c r="AF24" s="9"/>
    </row>
    <row r="25" spans="2:32">
      <c r="B25" s="35" t="s">
        <v>84</v>
      </c>
      <c r="C25" s="49">
        <v>1.38447144</v>
      </c>
      <c r="D25" s="50">
        <v>1.95565889</v>
      </c>
      <c r="E25" s="50">
        <v>1.27948521</v>
      </c>
      <c r="F25" s="50">
        <v>1.8377574299999999</v>
      </c>
      <c r="G25" s="50">
        <v>1.9549179800000001</v>
      </c>
      <c r="H25" s="50">
        <v>2.1452008299999998</v>
      </c>
      <c r="I25" s="50">
        <v>2.1502319999999999</v>
      </c>
      <c r="J25" s="50">
        <v>2.2231234799999999</v>
      </c>
      <c r="K25" s="50">
        <v>2.0965036700000002</v>
      </c>
      <c r="L25" s="50">
        <v>2.2769322000000001</v>
      </c>
      <c r="M25" s="50">
        <v>2.2600071599999998</v>
      </c>
      <c r="N25" s="51">
        <v>0</v>
      </c>
      <c r="O25" s="19">
        <f t="shared" si="1"/>
        <v>21.564290289999999</v>
      </c>
      <c r="AF25" s="9"/>
    </row>
    <row r="26" spans="2:32">
      <c r="B26" s="35" t="s">
        <v>85</v>
      </c>
      <c r="C26" s="49">
        <v>5.1600639400000006</v>
      </c>
      <c r="D26" s="50">
        <v>3.5420755700000002</v>
      </c>
      <c r="E26" s="50">
        <v>4.4125577600000003</v>
      </c>
      <c r="F26" s="50">
        <v>5.09212299</v>
      </c>
      <c r="G26" s="50">
        <v>5.26489634</v>
      </c>
      <c r="H26" s="50">
        <v>5.7802744199999996</v>
      </c>
      <c r="I26" s="50">
        <v>4.7767246400000003</v>
      </c>
      <c r="J26" s="50">
        <v>4.72199335</v>
      </c>
      <c r="K26" s="50">
        <v>4.74306319</v>
      </c>
      <c r="L26" s="50">
        <v>4.7646026500000005</v>
      </c>
      <c r="M26" s="50">
        <v>4.9078748599999997</v>
      </c>
      <c r="N26" s="51">
        <v>0</v>
      </c>
      <c r="O26" s="19">
        <f t="shared" si="1"/>
        <v>53.166249709999995</v>
      </c>
      <c r="AF26" s="9"/>
    </row>
    <row r="27" spans="2:32">
      <c r="B27" s="35" t="s">
        <v>86</v>
      </c>
      <c r="C27" s="49">
        <v>2.4884772499999999</v>
      </c>
      <c r="D27" s="50">
        <v>2.0304929299999999</v>
      </c>
      <c r="E27" s="50">
        <v>3.3657456899999998</v>
      </c>
      <c r="F27" s="50">
        <v>1.8864940100000001</v>
      </c>
      <c r="G27" s="50">
        <v>2.2971626000000001</v>
      </c>
      <c r="H27" s="50">
        <v>2.1987215899999999</v>
      </c>
      <c r="I27" s="50">
        <v>2.1984711099999998</v>
      </c>
      <c r="J27" s="50">
        <v>3.97503362</v>
      </c>
      <c r="K27" s="50">
        <v>2.35543258</v>
      </c>
      <c r="L27" s="50">
        <v>2.1110083400000001</v>
      </c>
      <c r="M27" s="50">
        <v>2.05755489</v>
      </c>
      <c r="N27" s="51">
        <v>0</v>
      </c>
      <c r="O27" s="19">
        <f t="shared" si="1"/>
        <v>26.964594609999999</v>
      </c>
      <c r="AF27" s="9"/>
    </row>
    <row r="28" spans="2:32">
      <c r="B28" s="35" t="s">
        <v>679</v>
      </c>
      <c r="C28" s="49">
        <v>4.4548533099999998</v>
      </c>
      <c r="D28" s="50">
        <v>23.971410080000002</v>
      </c>
      <c r="E28" s="50">
        <v>10.027194809999999</v>
      </c>
      <c r="F28" s="50">
        <v>13.86490878</v>
      </c>
      <c r="G28" s="50">
        <v>8.2398510199999997</v>
      </c>
      <c r="H28" s="50">
        <v>6.0951146000000005</v>
      </c>
      <c r="I28" s="50">
        <v>23.91280076</v>
      </c>
      <c r="J28" s="50">
        <v>6.0388149299999991</v>
      </c>
      <c r="K28" s="50">
        <v>11.650771189999999</v>
      </c>
      <c r="L28" s="50">
        <v>5.0735735799999997</v>
      </c>
      <c r="M28" s="50">
        <v>4.1674991099999996</v>
      </c>
      <c r="N28" s="51">
        <v>31.6952</v>
      </c>
      <c r="O28" s="19">
        <f t="shared" si="1"/>
        <v>149.19199216999999</v>
      </c>
      <c r="AF28" s="9"/>
    </row>
    <row r="29" spans="2:32" ht="24.95" customHeight="1">
      <c r="B29" s="25" t="s">
        <v>88</v>
      </c>
      <c r="C29" s="681">
        <f>SUM(C30:C31)</f>
        <v>0.24699451</v>
      </c>
      <c r="D29" s="682">
        <f t="shared" ref="D29:N29" si="6">SUM(D30:D31)</f>
        <v>2.32344807</v>
      </c>
      <c r="E29" s="682">
        <f t="shared" si="6"/>
        <v>0.40726974999999999</v>
      </c>
      <c r="F29" s="682">
        <f t="shared" si="6"/>
        <v>1.1035267</v>
      </c>
      <c r="G29" s="682">
        <f t="shared" si="6"/>
        <v>1.1256947100000001</v>
      </c>
      <c r="H29" s="682">
        <f t="shared" si="6"/>
        <v>0.92257818000000003</v>
      </c>
      <c r="I29" s="682">
        <f t="shared" si="6"/>
        <v>1.5752097999999999</v>
      </c>
      <c r="J29" s="682">
        <f t="shared" si="6"/>
        <v>0.43468028000000003</v>
      </c>
      <c r="K29" s="682">
        <f t="shared" si="6"/>
        <v>0.7388854600000001</v>
      </c>
      <c r="L29" s="682">
        <f t="shared" si="6"/>
        <v>0.55492334999999993</v>
      </c>
      <c r="M29" s="682">
        <f t="shared" si="6"/>
        <v>0.26722200000000002</v>
      </c>
      <c r="N29" s="603">
        <f t="shared" si="6"/>
        <v>3.0308659999999996</v>
      </c>
      <c r="O29" s="22">
        <f t="shared" si="1"/>
        <v>12.73129881</v>
      </c>
      <c r="AF29" s="9"/>
    </row>
    <row r="30" spans="2:32">
      <c r="B30" s="35" t="s">
        <v>89</v>
      </c>
      <c r="C30" s="49"/>
      <c r="D30" s="50"/>
      <c r="E30" s="50"/>
      <c r="F30" s="50"/>
      <c r="G30" s="50"/>
      <c r="H30" s="50"/>
      <c r="I30" s="50"/>
      <c r="J30" s="50"/>
      <c r="K30" s="50"/>
      <c r="L30" s="50"/>
      <c r="M30" s="50"/>
      <c r="N30" s="51"/>
      <c r="O30" s="19">
        <f t="shared" si="1"/>
        <v>0</v>
      </c>
      <c r="AF30" s="9"/>
    </row>
    <row r="31" spans="2:32">
      <c r="B31" s="35" t="s">
        <v>90</v>
      </c>
      <c r="C31" s="49">
        <v>0.24699451</v>
      </c>
      <c r="D31" s="50">
        <v>2.32344807</v>
      </c>
      <c r="E31" s="50">
        <v>0.40726974999999999</v>
      </c>
      <c r="F31" s="50">
        <v>1.1035267</v>
      </c>
      <c r="G31" s="50">
        <v>1.1256947100000001</v>
      </c>
      <c r="H31" s="50">
        <v>0.92257818000000003</v>
      </c>
      <c r="I31" s="50">
        <v>1.5752097999999999</v>
      </c>
      <c r="J31" s="50">
        <v>0.43468028000000003</v>
      </c>
      <c r="K31" s="50">
        <v>0.7388854600000001</v>
      </c>
      <c r="L31" s="50">
        <v>0.55492334999999993</v>
      </c>
      <c r="M31" s="50">
        <v>0.26722200000000002</v>
      </c>
      <c r="N31" s="51">
        <v>3.0308659999999996</v>
      </c>
      <c r="O31" s="19">
        <f t="shared" si="1"/>
        <v>12.73129881</v>
      </c>
      <c r="AF31" s="9"/>
    </row>
    <row r="32" spans="2:32" ht="24.95" customHeight="1">
      <c r="B32" s="38" t="s">
        <v>91</v>
      </c>
      <c r="C32" s="39">
        <f>+C7+C29</f>
        <v>445.33211749000003</v>
      </c>
      <c r="D32" s="40">
        <f t="shared" ref="D32:N32" si="7">+D7+D29</f>
        <v>371.87012458000004</v>
      </c>
      <c r="E32" s="40">
        <f t="shared" si="7"/>
        <v>373.90842932000004</v>
      </c>
      <c r="F32" s="40">
        <f t="shared" si="7"/>
        <v>814.09973944900003</v>
      </c>
      <c r="G32" s="40">
        <f t="shared" si="7"/>
        <v>369.00068852000004</v>
      </c>
      <c r="H32" s="40">
        <f t="shared" si="7"/>
        <v>372.50237830000003</v>
      </c>
      <c r="I32" s="40">
        <f t="shared" si="7"/>
        <v>402.39125554999998</v>
      </c>
      <c r="J32" s="40">
        <f t="shared" si="7"/>
        <v>383.68922141999997</v>
      </c>
      <c r="K32" s="40">
        <f t="shared" si="7"/>
        <v>362.52787681000001</v>
      </c>
      <c r="L32" s="40">
        <f t="shared" si="7"/>
        <v>381.99757115000006</v>
      </c>
      <c r="M32" s="40">
        <f t="shared" si="7"/>
        <v>373.86179128999999</v>
      </c>
      <c r="N32" s="41">
        <f t="shared" si="7"/>
        <v>404.2867868699999</v>
      </c>
      <c r="O32" s="41">
        <f>SUM(C32:N32)</f>
        <v>5055.4679807490002</v>
      </c>
      <c r="AF32" s="9"/>
    </row>
    <row r="33" spans="1:32" ht="8.25" customHeight="1">
      <c r="B33" s="42"/>
      <c r="C33" s="36"/>
      <c r="D33" s="37"/>
      <c r="E33" s="37"/>
      <c r="F33" s="37"/>
      <c r="G33" s="37"/>
      <c r="H33" s="37"/>
      <c r="I33" s="37"/>
      <c r="J33" s="37"/>
      <c r="K33" s="37"/>
      <c r="L33" s="37"/>
      <c r="M33" s="37"/>
      <c r="N33" s="19"/>
      <c r="O33" s="19"/>
      <c r="AF33" s="9"/>
    </row>
    <row r="34" spans="1:32" ht="24.95" customHeight="1">
      <c r="B34" s="25" t="s">
        <v>92</v>
      </c>
      <c r="C34" s="33">
        <f>SUM(C35:C36)</f>
        <v>9.4588575299999995</v>
      </c>
      <c r="D34" s="34">
        <f t="shared" ref="D34:N34" si="8">SUM(D35:D36)</f>
        <v>8.6833521299999994</v>
      </c>
      <c r="E34" s="34">
        <f t="shared" si="8"/>
        <v>6.4852314299999998</v>
      </c>
      <c r="F34" s="34">
        <f t="shared" si="8"/>
        <v>6.8072415200000007</v>
      </c>
      <c r="G34" s="34">
        <f t="shared" si="8"/>
        <v>7.0543818099999998</v>
      </c>
      <c r="H34" s="34">
        <f t="shared" si="8"/>
        <v>7.5621674799999994</v>
      </c>
      <c r="I34" s="34">
        <f t="shared" si="8"/>
        <v>12.66845897</v>
      </c>
      <c r="J34" s="34">
        <f t="shared" si="8"/>
        <v>8.2039564600000006</v>
      </c>
      <c r="K34" s="34">
        <f t="shared" si="8"/>
        <v>17.120247800000001</v>
      </c>
      <c r="L34" s="34">
        <f t="shared" si="8"/>
        <v>7.4470669699999998</v>
      </c>
      <c r="M34" s="34">
        <f t="shared" si="8"/>
        <v>13.408376850000003</v>
      </c>
      <c r="N34" s="22">
        <f t="shared" si="8"/>
        <v>9.5510108200000001</v>
      </c>
      <c r="O34" s="22">
        <f>SUM(C34:N34)</f>
        <v>114.45034976999999</v>
      </c>
      <c r="AF34" s="9"/>
    </row>
    <row r="35" spans="1:32">
      <c r="B35" s="43" t="s">
        <v>93</v>
      </c>
      <c r="C35" s="49">
        <v>0.2323554200000002</v>
      </c>
      <c r="D35" s="50">
        <v>0</v>
      </c>
      <c r="E35" s="50">
        <v>0</v>
      </c>
      <c r="F35" s="50">
        <v>0.12789064999999999</v>
      </c>
      <c r="G35" s="50">
        <v>3.3040887200000002</v>
      </c>
      <c r="H35" s="50">
        <v>4.6917766199999997</v>
      </c>
      <c r="I35" s="50">
        <v>8.8669494799999988</v>
      </c>
      <c r="J35" s="50">
        <v>3.3637796099999999</v>
      </c>
      <c r="K35" s="50">
        <v>11.970979010000002</v>
      </c>
      <c r="L35" s="50">
        <v>1.7970843300000001</v>
      </c>
      <c r="M35" s="50">
        <v>3.3411203900000004</v>
      </c>
      <c r="N35" s="51">
        <v>2.6777787400000004</v>
      </c>
      <c r="O35" s="19">
        <f>SUM(C35:N35)</f>
        <v>40.37380297</v>
      </c>
      <c r="AF35" s="9"/>
    </row>
    <row r="36" spans="1:32">
      <c r="B36" s="44" t="s">
        <v>94</v>
      </c>
      <c r="C36" s="52">
        <v>9.2265021100000002</v>
      </c>
      <c r="D36" s="53">
        <v>8.6833521299999994</v>
      </c>
      <c r="E36" s="53">
        <v>6.4852314299999998</v>
      </c>
      <c r="F36" s="53">
        <v>6.6793508700000004</v>
      </c>
      <c r="G36" s="53">
        <v>3.7502930899999996</v>
      </c>
      <c r="H36" s="53">
        <v>2.8703908600000001</v>
      </c>
      <c r="I36" s="53">
        <v>3.8015094899999999</v>
      </c>
      <c r="J36" s="53">
        <v>4.8401768500000006</v>
      </c>
      <c r="K36" s="53">
        <v>5.1492687899999998</v>
      </c>
      <c r="L36" s="53">
        <v>5.6499826399999993</v>
      </c>
      <c r="M36" s="53">
        <v>10.067256460000003</v>
      </c>
      <c r="N36" s="54">
        <v>6.8732320799999993</v>
      </c>
      <c r="O36" s="47">
        <f>SUM(C36:N36)</f>
        <v>74.076546800000003</v>
      </c>
      <c r="AF36" s="9"/>
    </row>
    <row r="37" spans="1:32">
      <c r="B37" s="767" t="s">
        <v>95</v>
      </c>
      <c r="C37" s="767"/>
      <c r="D37" s="767"/>
      <c r="E37" s="767"/>
      <c r="F37" s="767"/>
      <c r="G37" s="767"/>
      <c r="H37" s="767"/>
      <c r="I37" s="767"/>
      <c r="J37" s="767"/>
      <c r="K37" s="767"/>
      <c r="L37" s="767"/>
      <c r="M37" s="767"/>
      <c r="N37" s="767"/>
      <c r="O37" s="767"/>
      <c r="AF37" s="9"/>
    </row>
    <row r="38" spans="1:32">
      <c r="A38" s="9"/>
      <c r="B38" s="683" t="s">
        <v>694</v>
      </c>
      <c r="C38" s="268"/>
      <c r="D38" s="268"/>
      <c r="E38" s="268"/>
      <c r="F38" s="268"/>
      <c r="G38" s="268"/>
      <c r="H38" s="268"/>
      <c r="I38" s="268"/>
      <c r="J38" s="268"/>
      <c r="K38" s="268"/>
      <c r="L38" s="268"/>
      <c r="M38" s="268"/>
      <c r="N38" s="268"/>
      <c r="O38" s="268"/>
      <c r="P38" s="9"/>
    </row>
    <row r="39" spans="1:32">
      <c r="A39" s="9"/>
      <c r="B39" s="769" t="s">
        <v>108</v>
      </c>
      <c r="C39" s="769"/>
      <c r="D39" s="769"/>
      <c r="E39" s="769"/>
      <c r="F39" s="769"/>
      <c r="G39" s="769"/>
      <c r="H39" s="769"/>
      <c r="I39" s="769"/>
      <c r="J39" s="769"/>
      <c r="K39" s="769"/>
      <c r="L39" s="769"/>
      <c r="M39" s="769"/>
      <c r="N39" s="769"/>
      <c r="O39" s="769"/>
      <c r="P39" s="9"/>
    </row>
    <row r="40" spans="1:32" ht="15.75" customHeight="1">
      <c r="B40" s="769"/>
      <c r="C40" s="769"/>
      <c r="D40" s="769"/>
      <c r="E40" s="769"/>
      <c r="F40" s="769"/>
      <c r="G40" s="769"/>
      <c r="H40" s="769"/>
      <c r="I40" s="769"/>
      <c r="J40" s="769"/>
      <c r="K40" s="769"/>
      <c r="L40" s="769"/>
      <c r="M40" s="769"/>
      <c r="N40" s="769"/>
      <c r="O40" s="769"/>
    </row>
    <row r="41" spans="1:32">
      <c r="B41" s="9"/>
    </row>
    <row r="42" spans="1:32">
      <c r="B42" s="9"/>
    </row>
  </sheetData>
  <mergeCells count="3">
    <mergeCell ref="B37:O37"/>
    <mergeCell ref="B39:O39"/>
    <mergeCell ref="B40:O40"/>
  </mergeCells>
  <printOptions horizontalCentered="1"/>
  <pageMargins left="0.7" right="0.7" top="0.75" bottom="0.75" header="0.3" footer="0.3"/>
  <pageSetup scale="7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2"/>
  <sheetViews>
    <sheetView workbookViewId="0">
      <selection activeCell="F34" sqref="F34"/>
    </sheetView>
  </sheetViews>
  <sheetFormatPr baseColWidth="10" defaultRowHeight="15"/>
  <cols>
    <col min="1" max="1" width="1.85546875" customWidth="1"/>
    <col min="2" max="2" width="51" customWidth="1"/>
    <col min="3" max="14" width="8.28515625" customWidth="1"/>
    <col min="15" max="15" width="10.5703125" customWidth="1"/>
    <col min="16" max="16" width="2.7109375" customWidth="1"/>
    <col min="18" max="31" width="11.42578125" hidden="1" customWidth="1"/>
  </cols>
  <sheetData>
    <row r="1" spans="2:32">
      <c r="C1" s="23"/>
      <c r="D1" s="23"/>
      <c r="E1" s="23"/>
      <c r="F1" s="23"/>
      <c r="G1" s="23"/>
      <c r="H1" s="23"/>
    </row>
    <row r="2" spans="2:32">
      <c r="B2" t="s">
        <v>18</v>
      </c>
    </row>
    <row r="3" spans="2:32">
      <c r="B3" t="s">
        <v>820</v>
      </c>
      <c r="C3" s="221"/>
      <c r="D3" s="221"/>
      <c r="E3" s="221"/>
      <c r="F3" s="221"/>
      <c r="G3" s="221"/>
      <c r="H3" s="221"/>
      <c r="I3" s="9"/>
      <c r="J3" s="9"/>
      <c r="K3" s="9"/>
      <c r="L3" s="9"/>
      <c r="M3" s="9"/>
      <c r="N3" s="9"/>
    </row>
    <row r="4" spans="2:32">
      <c r="B4" t="s">
        <v>19</v>
      </c>
      <c r="C4" s="9"/>
      <c r="D4" s="9"/>
      <c r="E4" s="9"/>
      <c r="F4" s="9"/>
      <c r="G4" s="9"/>
      <c r="H4" s="9"/>
      <c r="I4" s="9"/>
      <c r="J4" s="9"/>
      <c r="K4" s="9"/>
      <c r="L4" s="9"/>
      <c r="M4" s="9"/>
      <c r="N4" s="9"/>
    </row>
    <row r="6" spans="2:32" ht="30" customHeight="1">
      <c r="B6" s="12" t="s">
        <v>58</v>
      </c>
      <c r="C6" s="12" t="s">
        <v>59</v>
      </c>
      <c r="D6" s="32" t="s">
        <v>60</v>
      </c>
      <c r="E6" s="32" t="s">
        <v>61</v>
      </c>
      <c r="F6" s="32" t="s">
        <v>62</v>
      </c>
      <c r="G6" s="32" t="s">
        <v>63</v>
      </c>
      <c r="H6" s="32" t="s">
        <v>64</v>
      </c>
      <c r="I6" s="32" t="s">
        <v>65</v>
      </c>
      <c r="J6" s="32" t="s">
        <v>66</v>
      </c>
      <c r="K6" s="32" t="s">
        <v>67</v>
      </c>
      <c r="L6" s="32" t="s">
        <v>68</v>
      </c>
      <c r="M6" s="32" t="s">
        <v>69</v>
      </c>
      <c r="N6" s="14" t="s">
        <v>70</v>
      </c>
      <c r="O6" s="14">
        <v>2019</v>
      </c>
      <c r="AF6" s="9"/>
    </row>
    <row r="7" spans="2:32" ht="24.95" customHeight="1">
      <c r="B7" s="25" t="s">
        <v>71</v>
      </c>
      <c r="C7" s="33">
        <f>C8+C22</f>
        <v>468.31230534999997</v>
      </c>
      <c r="D7" s="34">
        <f>+D8+D22</f>
        <v>380.83934164000004</v>
      </c>
      <c r="E7" s="34">
        <f t="shared" ref="E7:M7" si="0">+E8+E22</f>
        <v>391.11215106000003</v>
      </c>
      <c r="F7" s="34">
        <f t="shared" si="0"/>
        <v>817.10179342999993</v>
      </c>
      <c r="G7" s="34">
        <f t="shared" si="0"/>
        <v>398.3485227000001</v>
      </c>
      <c r="H7" s="34">
        <f t="shared" si="0"/>
        <v>370.71251000000001</v>
      </c>
      <c r="I7" s="34">
        <f t="shared" si="0"/>
        <v>0</v>
      </c>
      <c r="J7" s="34">
        <f t="shared" si="0"/>
        <v>0</v>
      </c>
      <c r="K7" s="34">
        <f t="shared" si="0"/>
        <v>0</v>
      </c>
      <c r="L7" s="34">
        <f t="shared" si="0"/>
        <v>0</v>
      </c>
      <c r="M7" s="34">
        <f t="shared" si="0"/>
        <v>0</v>
      </c>
      <c r="N7" s="22">
        <f>+N8+N22</f>
        <v>0</v>
      </c>
      <c r="O7" s="22">
        <f t="shared" ref="O7:O31" si="1">SUM(C7:N7)</f>
        <v>2826.4266241800001</v>
      </c>
      <c r="AF7" s="9"/>
    </row>
    <row r="8" spans="2:32" ht="24.95" customHeight="1">
      <c r="B8" s="15" t="s">
        <v>72</v>
      </c>
      <c r="C8" s="33">
        <f>SUM(C9:C14)</f>
        <v>452.40902636999999</v>
      </c>
      <c r="D8" s="34">
        <f t="shared" ref="D8:N8" si="2">SUM(D9:D14)</f>
        <v>349.09049651000004</v>
      </c>
      <c r="E8" s="34">
        <f t="shared" si="2"/>
        <v>368.56976227000001</v>
      </c>
      <c r="F8" s="34">
        <f t="shared" si="2"/>
        <v>802.60163242999988</v>
      </c>
      <c r="G8" s="34">
        <f t="shared" si="2"/>
        <v>365.87664510000008</v>
      </c>
      <c r="H8" s="34">
        <f t="shared" si="2"/>
        <v>356.78480999999999</v>
      </c>
      <c r="I8" s="34">
        <f t="shared" si="2"/>
        <v>0</v>
      </c>
      <c r="J8" s="34">
        <f t="shared" si="2"/>
        <v>0</v>
      </c>
      <c r="K8" s="34">
        <f t="shared" si="2"/>
        <v>0</v>
      </c>
      <c r="L8" s="34">
        <f t="shared" si="2"/>
        <v>0</v>
      </c>
      <c r="M8" s="34">
        <f t="shared" si="2"/>
        <v>0</v>
      </c>
      <c r="N8" s="22">
        <f t="shared" si="2"/>
        <v>0</v>
      </c>
      <c r="O8" s="22">
        <f t="shared" si="1"/>
        <v>2695.3323726799999</v>
      </c>
      <c r="AF8" s="9"/>
    </row>
    <row r="9" spans="2:32">
      <c r="B9" s="35" t="s">
        <v>73</v>
      </c>
      <c r="C9" s="49">
        <v>204.75352190000001</v>
      </c>
      <c r="D9" s="50">
        <v>173.47426744000001</v>
      </c>
      <c r="E9" s="50">
        <v>178.07472179000001</v>
      </c>
      <c r="F9" s="50">
        <v>184.62892374</v>
      </c>
      <c r="G9" s="50">
        <v>185.15425797</v>
      </c>
      <c r="H9" s="50">
        <v>177.2458</v>
      </c>
      <c r="I9" s="50"/>
      <c r="J9" s="50"/>
      <c r="K9" s="50"/>
      <c r="L9" s="50"/>
      <c r="M9" s="50"/>
      <c r="N9" s="51"/>
      <c r="O9" s="19">
        <f t="shared" si="1"/>
        <v>1103.33149284</v>
      </c>
      <c r="R9" s="55"/>
      <c r="AE9" s="55"/>
      <c r="AF9" s="9"/>
    </row>
    <row r="10" spans="2:32">
      <c r="B10" s="35" t="s">
        <v>24</v>
      </c>
      <c r="C10" s="49">
        <v>179.34556860000001</v>
      </c>
      <c r="D10" s="50">
        <v>121.33525935</v>
      </c>
      <c r="E10" s="50">
        <v>134.69761507000001</v>
      </c>
      <c r="F10" s="50">
        <v>493.63216492999999</v>
      </c>
      <c r="G10" s="50">
        <v>124.95608369</v>
      </c>
      <c r="H10" s="50">
        <v>125.42699999999999</v>
      </c>
      <c r="I10" s="50"/>
      <c r="J10" s="50"/>
      <c r="K10" s="50"/>
      <c r="L10" s="50"/>
      <c r="M10" s="50"/>
      <c r="N10" s="51"/>
      <c r="O10" s="19">
        <f t="shared" si="1"/>
        <v>1179.3936916399998</v>
      </c>
      <c r="R10" t="s">
        <v>105</v>
      </c>
      <c r="S10">
        <v>2.0036266600000001</v>
      </c>
      <c r="T10">
        <v>1.7893525400000001</v>
      </c>
      <c r="U10">
        <v>2.1956950800000001</v>
      </c>
      <c r="V10">
        <v>1.5391872</v>
      </c>
      <c r="W10">
        <v>1.5806</v>
      </c>
      <c r="X10">
        <v>2.2824</v>
      </c>
      <c r="AE10" s="55">
        <f>SUM(S10:AD10)</f>
        <v>11.390861480000002</v>
      </c>
      <c r="AF10" s="9"/>
    </row>
    <row r="11" spans="2:32">
      <c r="B11" s="35" t="s">
        <v>27</v>
      </c>
      <c r="C11" s="49">
        <v>18.389843639999999</v>
      </c>
      <c r="D11" s="50">
        <v>17.06242207</v>
      </c>
      <c r="E11" s="50">
        <v>18.710325210000001</v>
      </c>
      <c r="F11" s="50">
        <v>17.329018699999999</v>
      </c>
      <c r="G11" s="50">
        <v>18.360601840000001</v>
      </c>
      <c r="H11" s="50">
        <v>17.810500000000001</v>
      </c>
      <c r="I11" s="50"/>
      <c r="J11" s="50"/>
      <c r="K11" s="50"/>
      <c r="L11" s="50"/>
      <c r="M11" s="50"/>
      <c r="N11" s="51"/>
      <c r="O11" s="19">
        <f t="shared" si="1"/>
        <v>107.66271146</v>
      </c>
      <c r="R11" t="s">
        <v>106</v>
      </c>
      <c r="S11">
        <v>9.739268580000001</v>
      </c>
      <c r="T11">
        <v>8.3760058000000015</v>
      </c>
      <c r="U11">
        <v>7.8996543700000004</v>
      </c>
      <c r="V11">
        <v>8.5065343999999996</v>
      </c>
      <c r="W11">
        <v>7.6777999999999995</v>
      </c>
      <c r="X11">
        <v>8.6527999999999992</v>
      </c>
      <c r="Y11">
        <v>0</v>
      </c>
      <c r="Z11">
        <v>0</v>
      </c>
      <c r="AA11">
        <v>0</v>
      </c>
      <c r="AB11">
        <v>0</v>
      </c>
      <c r="AC11">
        <v>0</v>
      </c>
      <c r="AD11">
        <v>0</v>
      </c>
      <c r="AE11" s="55">
        <f>SUM(S11:AD11)</f>
        <v>50.852063149999999</v>
      </c>
      <c r="AF11" s="9"/>
    </row>
    <row r="12" spans="2:32">
      <c r="B12" s="35" t="s">
        <v>74</v>
      </c>
      <c r="C12" s="49">
        <v>19.032939639999999</v>
      </c>
      <c r="D12" s="50">
        <v>13.662424829999999</v>
      </c>
      <c r="E12" s="50">
        <v>14.843767770000001</v>
      </c>
      <c r="F12" s="50">
        <v>15.861799150000001</v>
      </c>
      <c r="G12" s="50">
        <v>15.089562379999998</v>
      </c>
      <c r="H12" s="50">
        <v>15.2218</v>
      </c>
      <c r="I12" s="50"/>
      <c r="J12" s="50"/>
      <c r="K12" s="50"/>
      <c r="L12" s="50"/>
      <c r="M12" s="50"/>
      <c r="N12" s="51"/>
      <c r="O12" s="19">
        <f t="shared" si="1"/>
        <v>93.712293770000002</v>
      </c>
      <c r="AF12" s="9"/>
    </row>
    <row r="13" spans="2:32">
      <c r="B13" s="35" t="s">
        <v>75</v>
      </c>
      <c r="C13" s="49">
        <v>12.794476059999999</v>
      </c>
      <c r="D13" s="50">
        <v>3.8688443700000001</v>
      </c>
      <c r="E13" s="50">
        <v>3.9013499700000001</v>
      </c>
      <c r="F13" s="50">
        <v>3.26721255</v>
      </c>
      <c r="G13" s="50">
        <v>3.7181230399999996</v>
      </c>
      <c r="H13" s="50">
        <v>3.4326999999999996</v>
      </c>
      <c r="I13" s="50"/>
      <c r="J13" s="50"/>
      <c r="K13" s="50"/>
      <c r="L13" s="50"/>
      <c r="M13" s="50"/>
      <c r="N13" s="51"/>
      <c r="O13" s="19">
        <f t="shared" si="1"/>
        <v>30.982705989999996</v>
      </c>
      <c r="S13">
        <f>+S10+S11</f>
        <v>11.742895240000001</v>
      </c>
      <c r="T13">
        <f t="shared" ref="T13:AD13" si="3">+T10+T11</f>
        <v>10.165358340000001</v>
      </c>
      <c r="U13">
        <f t="shared" si="3"/>
        <v>10.095349450000001</v>
      </c>
      <c r="V13">
        <f t="shared" si="3"/>
        <v>10.0457216</v>
      </c>
      <c r="W13">
        <f t="shared" si="3"/>
        <v>9.2584</v>
      </c>
      <c r="X13">
        <f t="shared" si="3"/>
        <v>10.935199999999998</v>
      </c>
      <c r="Y13">
        <f t="shared" si="3"/>
        <v>0</v>
      </c>
      <c r="Z13">
        <f t="shared" si="3"/>
        <v>0</v>
      </c>
      <c r="AA13">
        <f t="shared" si="3"/>
        <v>0</v>
      </c>
      <c r="AB13">
        <f t="shared" si="3"/>
        <v>0</v>
      </c>
      <c r="AC13">
        <f t="shared" si="3"/>
        <v>0</v>
      </c>
      <c r="AD13">
        <f t="shared" si="3"/>
        <v>0</v>
      </c>
      <c r="AE13" s="55">
        <f>SUM(S13:AD13)</f>
        <v>62.242924630000005</v>
      </c>
      <c r="AF13" s="9"/>
    </row>
    <row r="14" spans="2:32">
      <c r="B14" s="35" t="s">
        <v>76</v>
      </c>
      <c r="C14" s="49">
        <f>SUM(C15:C21)</f>
        <v>18.092676529999999</v>
      </c>
      <c r="D14" s="50">
        <f t="shared" ref="D14:N14" si="4">SUM(D15:D21)</f>
        <v>19.687278450000001</v>
      </c>
      <c r="E14" s="50">
        <f t="shared" si="4"/>
        <v>18.341982460000001</v>
      </c>
      <c r="F14" s="50">
        <f t="shared" si="4"/>
        <v>87.882513360000004</v>
      </c>
      <c r="G14" s="50">
        <f t="shared" si="4"/>
        <v>18.598016180000002</v>
      </c>
      <c r="H14" s="50">
        <f t="shared" si="4"/>
        <v>17.647009999999998</v>
      </c>
      <c r="I14" s="50">
        <f t="shared" si="4"/>
        <v>0</v>
      </c>
      <c r="J14" s="50">
        <f t="shared" si="4"/>
        <v>0</v>
      </c>
      <c r="K14" s="50">
        <f t="shared" si="4"/>
        <v>0</v>
      </c>
      <c r="L14" s="50">
        <f t="shared" si="4"/>
        <v>0</v>
      </c>
      <c r="M14" s="50">
        <f t="shared" si="4"/>
        <v>0</v>
      </c>
      <c r="N14" s="51">
        <f t="shared" si="4"/>
        <v>0</v>
      </c>
      <c r="O14" s="19">
        <f t="shared" si="1"/>
        <v>180.24947698</v>
      </c>
      <c r="AF14" s="9"/>
    </row>
    <row r="15" spans="2:32">
      <c r="B15" s="17" t="s">
        <v>77</v>
      </c>
      <c r="C15" s="49">
        <v>8.0075968</v>
      </c>
      <c r="D15" s="50">
        <v>9.1929591100000003</v>
      </c>
      <c r="E15" s="50">
        <v>7.1644687999999999</v>
      </c>
      <c r="F15" s="50">
        <v>8.1472864000000005</v>
      </c>
      <c r="G15" s="50">
        <v>7.9293654599999996</v>
      </c>
      <c r="H15" s="50">
        <v>7.7859999999999996</v>
      </c>
      <c r="I15" s="50"/>
      <c r="J15" s="50"/>
      <c r="K15" s="50"/>
      <c r="L15" s="50"/>
      <c r="M15" s="50"/>
      <c r="N15" s="51"/>
      <c r="O15" s="19">
        <f t="shared" si="1"/>
        <v>48.22767657</v>
      </c>
      <c r="AF15" s="9"/>
    </row>
    <row r="16" spans="2:32">
      <c r="B16" s="17" t="s">
        <v>78</v>
      </c>
      <c r="C16" s="49">
        <v>1.269E-5</v>
      </c>
      <c r="D16" s="50">
        <v>0</v>
      </c>
      <c r="E16" s="50">
        <v>4.7252280000000001E-2</v>
      </c>
      <c r="F16" s="50">
        <v>0.36140485999999999</v>
      </c>
      <c r="G16" s="50">
        <v>5.3467859999999999E-2</v>
      </c>
      <c r="H16" s="50">
        <v>0</v>
      </c>
      <c r="I16" s="50"/>
      <c r="J16" s="50"/>
      <c r="K16" s="50"/>
      <c r="L16" s="50"/>
      <c r="M16" s="50"/>
      <c r="N16" s="51"/>
      <c r="O16" s="19">
        <f t="shared" si="1"/>
        <v>0.46213768999999999</v>
      </c>
      <c r="AF16" s="9"/>
    </row>
    <row r="17" spans="2:32">
      <c r="B17" s="17" t="s">
        <v>79</v>
      </c>
      <c r="C17" s="49">
        <v>0.83615141000000004</v>
      </c>
      <c r="D17" s="50">
        <v>1.10154292</v>
      </c>
      <c r="E17" s="50">
        <v>1.03824658</v>
      </c>
      <c r="F17" s="50">
        <v>1.18683764</v>
      </c>
      <c r="G17" s="50">
        <v>1.0247455299999999</v>
      </c>
      <c r="H17" s="50">
        <v>1.03</v>
      </c>
      <c r="I17" s="50"/>
      <c r="J17" s="50"/>
      <c r="K17" s="50"/>
      <c r="L17" s="50"/>
      <c r="M17" s="50"/>
      <c r="N17" s="51"/>
      <c r="O17" s="19">
        <f t="shared" si="1"/>
        <v>6.2175240800000005</v>
      </c>
      <c r="AF17" s="9"/>
    </row>
    <row r="18" spans="2:32">
      <c r="B18" s="17" t="s">
        <v>80</v>
      </c>
      <c r="C18" s="49">
        <v>4.0245183999999998</v>
      </c>
      <c r="D18" s="50">
        <v>4.6450795600000001</v>
      </c>
      <c r="E18" s="50">
        <v>3.6053343999999998</v>
      </c>
      <c r="F18" s="50">
        <v>4.1031431999999999</v>
      </c>
      <c r="G18" s="50">
        <v>3.9829327299999999</v>
      </c>
      <c r="H18" s="50">
        <v>3.8984999999999999</v>
      </c>
      <c r="I18" s="50"/>
      <c r="J18" s="50"/>
      <c r="K18" s="50"/>
      <c r="L18" s="50"/>
      <c r="M18" s="50"/>
      <c r="N18" s="51"/>
      <c r="O18" s="19">
        <f t="shared" si="1"/>
        <v>24.259508289999999</v>
      </c>
      <c r="S18" s="9"/>
      <c r="T18" s="9"/>
      <c r="U18" s="9"/>
      <c r="V18" s="9"/>
      <c r="W18" s="9"/>
      <c r="X18" s="9"/>
      <c r="Y18" s="9"/>
      <c r="Z18" s="9"/>
      <c r="AA18" s="9"/>
      <c r="AB18" s="9"/>
      <c r="AC18" s="9"/>
      <c r="AD18" s="9"/>
      <c r="AE18" s="9"/>
      <c r="AF18" s="9"/>
    </row>
    <row r="19" spans="2:32">
      <c r="B19" s="17" t="s">
        <v>48</v>
      </c>
      <c r="C19" s="49"/>
      <c r="D19" s="50"/>
      <c r="E19" s="50"/>
      <c r="F19" s="50"/>
      <c r="G19" s="50"/>
      <c r="H19" s="50"/>
      <c r="I19" s="50"/>
      <c r="J19" s="50"/>
      <c r="K19" s="50"/>
      <c r="L19" s="50"/>
      <c r="M19" s="50"/>
      <c r="N19" s="51"/>
      <c r="O19" s="19">
        <f t="shared" si="1"/>
        <v>0</v>
      </c>
      <c r="S19" s="9"/>
      <c r="T19" s="9"/>
      <c r="U19" s="9"/>
      <c r="V19" s="9"/>
      <c r="W19" s="9"/>
      <c r="X19" s="9"/>
      <c r="Y19" s="9"/>
      <c r="Z19" s="9"/>
      <c r="AA19" s="9"/>
      <c r="AB19" s="9"/>
      <c r="AC19" s="9"/>
      <c r="AD19" s="9"/>
      <c r="AE19" s="9"/>
      <c r="AF19" s="9"/>
    </row>
    <row r="20" spans="2:32">
      <c r="B20" s="17" t="s">
        <v>110</v>
      </c>
      <c r="C20" s="49">
        <v>5.2243972300000001</v>
      </c>
      <c r="D20" s="50">
        <v>4.3243312200000004</v>
      </c>
      <c r="E20" s="50">
        <v>4.4066572600000002</v>
      </c>
      <c r="F20" s="50">
        <v>4.3293981600000002</v>
      </c>
      <c r="G20" s="50">
        <v>4.4328784099999998</v>
      </c>
      <c r="H20" s="50">
        <v>4.9325099999999997</v>
      </c>
      <c r="I20" s="50"/>
      <c r="J20" s="50"/>
      <c r="K20" s="50"/>
      <c r="L20" s="50"/>
      <c r="M20" s="50"/>
      <c r="N20" s="51"/>
      <c r="O20" s="19">
        <f t="shared" si="1"/>
        <v>27.650172280000003</v>
      </c>
      <c r="S20" s="9"/>
      <c r="T20" s="9"/>
      <c r="U20" s="9"/>
      <c r="V20" s="9"/>
      <c r="W20" s="9"/>
      <c r="X20" s="9"/>
      <c r="Y20" s="9"/>
      <c r="Z20" s="9"/>
      <c r="AA20" s="9"/>
      <c r="AB20" s="9"/>
      <c r="AC20" s="9"/>
      <c r="AD20" s="9"/>
      <c r="AE20" s="9"/>
      <c r="AF20" s="9"/>
    </row>
    <row r="21" spans="2:32">
      <c r="B21" s="17" t="s">
        <v>111</v>
      </c>
      <c r="C21" s="49"/>
      <c r="D21" s="50">
        <v>0.42336563999999999</v>
      </c>
      <c r="E21" s="50">
        <v>2.0800231400000002</v>
      </c>
      <c r="F21" s="50">
        <v>69.754443100000003</v>
      </c>
      <c r="G21" s="50">
        <v>1.1746261899999999</v>
      </c>
      <c r="H21" s="50"/>
      <c r="I21" s="50"/>
      <c r="J21" s="50"/>
      <c r="K21" s="50"/>
      <c r="L21" s="50"/>
      <c r="M21" s="50"/>
      <c r="N21" s="51"/>
      <c r="O21" s="19">
        <f t="shared" si="1"/>
        <v>73.432458069999996</v>
      </c>
      <c r="S21" s="9"/>
      <c r="T21" s="9"/>
      <c r="U21" s="9"/>
      <c r="V21" s="9"/>
      <c r="W21" s="9"/>
      <c r="X21" s="9"/>
      <c r="Y21" s="9"/>
      <c r="Z21" s="9"/>
      <c r="AA21" s="9"/>
      <c r="AB21" s="9"/>
      <c r="AC21" s="9"/>
      <c r="AD21" s="9"/>
      <c r="AE21" s="9"/>
      <c r="AF21" s="9"/>
    </row>
    <row r="22" spans="2:32" ht="24.95" customHeight="1">
      <c r="B22" s="15" t="s">
        <v>81</v>
      </c>
      <c r="C22" s="681">
        <f>SUM(C23:C28)</f>
        <v>15.90327898</v>
      </c>
      <c r="D22" s="682">
        <f t="shared" ref="D22:N22" si="5">SUM(D23:D28)</f>
        <v>31.748845129999999</v>
      </c>
      <c r="E22" s="682">
        <f t="shared" si="5"/>
        <v>22.54238879</v>
      </c>
      <c r="F22" s="682">
        <f t="shared" si="5"/>
        <v>14.500161000000002</v>
      </c>
      <c r="G22" s="682">
        <f t="shared" si="5"/>
        <v>32.471877599999999</v>
      </c>
      <c r="H22" s="682">
        <f t="shared" si="5"/>
        <v>13.9277</v>
      </c>
      <c r="I22" s="682">
        <f t="shared" si="5"/>
        <v>0</v>
      </c>
      <c r="J22" s="682">
        <f t="shared" si="5"/>
        <v>0</v>
      </c>
      <c r="K22" s="682">
        <f t="shared" si="5"/>
        <v>0</v>
      </c>
      <c r="L22" s="682">
        <f t="shared" si="5"/>
        <v>0</v>
      </c>
      <c r="M22" s="682">
        <f t="shared" si="5"/>
        <v>0</v>
      </c>
      <c r="N22" s="603">
        <f t="shared" si="5"/>
        <v>0</v>
      </c>
      <c r="O22" s="22">
        <f t="shared" si="1"/>
        <v>131.09425150000001</v>
      </c>
      <c r="AF22" s="9"/>
    </row>
    <row r="23" spans="2:32">
      <c r="B23" s="35" t="s">
        <v>82</v>
      </c>
      <c r="C23" s="49">
        <v>0.40358936000000001</v>
      </c>
      <c r="D23" s="50">
        <v>0.39809862000000001</v>
      </c>
      <c r="E23" s="50">
        <v>0.36521608999999999</v>
      </c>
      <c r="F23" s="50">
        <v>0.42447389000000002</v>
      </c>
      <c r="G23" s="50">
        <v>0.45955694999999996</v>
      </c>
      <c r="H23" s="50">
        <v>0</v>
      </c>
      <c r="I23" s="50"/>
      <c r="J23" s="50"/>
      <c r="K23" s="50"/>
      <c r="L23" s="50"/>
      <c r="M23" s="50"/>
      <c r="N23" s="51"/>
      <c r="O23" s="19">
        <f t="shared" si="1"/>
        <v>2.0509349100000001</v>
      </c>
      <c r="AF23" s="9"/>
    </row>
    <row r="24" spans="2:32">
      <c r="B24" s="35" t="s">
        <v>83</v>
      </c>
      <c r="C24" s="49">
        <v>0</v>
      </c>
      <c r="D24" s="50">
        <v>0</v>
      </c>
      <c r="E24" s="50">
        <v>0</v>
      </c>
      <c r="F24" s="50">
        <v>0</v>
      </c>
      <c r="G24" s="50">
        <v>16.983762299999999</v>
      </c>
      <c r="H24" s="50">
        <v>0</v>
      </c>
      <c r="I24" s="50"/>
      <c r="J24" s="50"/>
      <c r="K24" s="50"/>
      <c r="L24" s="50"/>
      <c r="M24" s="50"/>
      <c r="N24" s="51"/>
      <c r="O24" s="19">
        <f t="shared" si="1"/>
        <v>16.983762299999999</v>
      </c>
      <c r="AF24" s="9"/>
    </row>
    <row r="25" spans="2:32">
      <c r="B25" s="35" t="s">
        <v>84</v>
      </c>
      <c r="C25" s="49">
        <v>2.4384170200000002</v>
      </c>
      <c r="D25" s="50">
        <v>1.4688525800000001</v>
      </c>
      <c r="E25" s="50">
        <v>1.21341196</v>
      </c>
      <c r="F25" s="50">
        <v>1.1732707200000001</v>
      </c>
      <c r="G25" s="50">
        <v>1.40680939</v>
      </c>
      <c r="H25" s="50">
        <v>0</v>
      </c>
      <c r="I25" s="50"/>
      <c r="J25" s="50"/>
      <c r="K25" s="50"/>
      <c r="L25" s="50"/>
      <c r="M25" s="50"/>
      <c r="N25" s="51"/>
      <c r="O25" s="19">
        <f t="shared" si="1"/>
        <v>7.7007616700000012</v>
      </c>
      <c r="AF25" s="9"/>
    </row>
    <row r="26" spans="2:32">
      <c r="B26" s="35" t="s">
        <v>85</v>
      </c>
      <c r="C26" s="49">
        <v>4.9479392899999999</v>
      </c>
      <c r="D26" s="50">
        <v>4.7259226200000004</v>
      </c>
      <c r="E26" s="50">
        <v>5.0498057100000002</v>
      </c>
      <c r="F26" s="50">
        <v>4.9824321899999999</v>
      </c>
      <c r="G26" s="50">
        <v>5.0825600099999999</v>
      </c>
      <c r="H26" s="50">
        <v>0</v>
      </c>
      <c r="I26" s="50"/>
      <c r="J26" s="50"/>
      <c r="K26" s="50"/>
      <c r="L26" s="50"/>
      <c r="M26" s="50"/>
      <c r="N26" s="51"/>
      <c r="O26" s="19">
        <f t="shared" si="1"/>
        <v>24.788659819999999</v>
      </c>
      <c r="AF26" s="9"/>
    </row>
    <row r="27" spans="2:32">
      <c r="B27" s="35" t="s">
        <v>86</v>
      </c>
      <c r="C27" s="49">
        <v>2.9115746300000001</v>
      </c>
      <c r="D27" s="50">
        <v>2.2739391499999999</v>
      </c>
      <c r="E27" s="50">
        <v>2.30354379</v>
      </c>
      <c r="F27" s="50">
        <v>2.6770630400000002</v>
      </c>
      <c r="G27" s="50">
        <v>2.6655510699999998</v>
      </c>
      <c r="H27" s="50">
        <v>0</v>
      </c>
      <c r="I27" s="50"/>
      <c r="J27" s="50"/>
      <c r="K27" s="50"/>
      <c r="L27" s="50"/>
      <c r="M27" s="50"/>
      <c r="N27" s="51"/>
      <c r="O27" s="19">
        <f t="shared" si="1"/>
        <v>12.831671679999999</v>
      </c>
      <c r="AF27" s="9"/>
    </row>
    <row r="28" spans="2:32">
      <c r="B28" s="35" t="s">
        <v>679</v>
      </c>
      <c r="C28" s="49">
        <v>5.2017586800000002</v>
      </c>
      <c r="D28" s="50">
        <v>22.882032159999998</v>
      </c>
      <c r="E28" s="50">
        <v>13.610411240000001</v>
      </c>
      <c r="F28" s="50">
        <v>5.2429211600000007</v>
      </c>
      <c r="G28" s="50">
        <v>5.8736378800000004</v>
      </c>
      <c r="H28" s="50">
        <v>13.9277</v>
      </c>
      <c r="I28" s="50"/>
      <c r="J28" s="50"/>
      <c r="K28" s="50"/>
      <c r="L28" s="50"/>
      <c r="M28" s="50"/>
      <c r="N28" s="51"/>
      <c r="O28" s="19">
        <f t="shared" si="1"/>
        <v>66.738461119999997</v>
      </c>
      <c r="AF28" s="9"/>
    </row>
    <row r="29" spans="2:32" ht="24.95" customHeight="1">
      <c r="B29" s="25" t="s">
        <v>88</v>
      </c>
      <c r="C29" s="681">
        <f>SUM(C30:C31)</f>
        <v>3.7799999999999999E-3</v>
      </c>
      <c r="D29" s="682">
        <f t="shared" ref="D29:N29" si="6">SUM(D30:D31)</f>
        <v>0.16773628000000002</v>
      </c>
      <c r="E29" s="682">
        <f t="shared" si="6"/>
        <v>5.7640182299999996</v>
      </c>
      <c r="F29" s="682">
        <f t="shared" si="6"/>
        <v>4.0885100000000001E-2</v>
      </c>
      <c r="G29" s="682">
        <f t="shared" si="6"/>
        <v>0.1712909</v>
      </c>
      <c r="H29" s="682">
        <f t="shared" si="6"/>
        <v>0.76554260000000007</v>
      </c>
      <c r="I29" s="682">
        <f t="shared" si="6"/>
        <v>0</v>
      </c>
      <c r="J29" s="682">
        <f t="shared" si="6"/>
        <v>0</v>
      </c>
      <c r="K29" s="682">
        <f t="shared" si="6"/>
        <v>0</v>
      </c>
      <c r="L29" s="682">
        <f t="shared" si="6"/>
        <v>0</v>
      </c>
      <c r="M29" s="682">
        <f t="shared" si="6"/>
        <v>0</v>
      </c>
      <c r="N29" s="603">
        <f t="shared" si="6"/>
        <v>0</v>
      </c>
      <c r="O29" s="22">
        <f t="shared" si="1"/>
        <v>6.9132531099999985</v>
      </c>
      <c r="AF29" s="9"/>
    </row>
    <row r="30" spans="2:32">
      <c r="B30" s="35" t="s">
        <v>89</v>
      </c>
      <c r="C30" s="49"/>
      <c r="D30" s="50"/>
      <c r="E30" s="50"/>
      <c r="F30" s="50"/>
      <c r="G30" s="50"/>
      <c r="H30" s="50"/>
      <c r="I30" s="50"/>
      <c r="J30" s="50"/>
      <c r="K30" s="50"/>
      <c r="L30" s="50"/>
      <c r="M30" s="50"/>
      <c r="N30" s="51"/>
      <c r="O30" s="19">
        <f t="shared" si="1"/>
        <v>0</v>
      </c>
      <c r="AF30" s="9"/>
    </row>
    <row r="31" spans="2:32">
      <c r="B31" s="35" t="s">
        <v>90</v>
      </c>
      <c r="C31" s="49">
        <v>3.7799999999999999E-3</v>
      </c>
      <c r="D31" s="50">
        <v>0.16773628000000002</v>
      </c>
      <c r="E31" s="50">
        <v>5.7640182299999996</v>
      </c>
      <c r="F31" s="50">
        <v>4.0885100000000001E-2</v>
      </c>
      <c r="G31" s="50">
        <v>0.1712909</v>
      </c>
      <c r="H31" s="50">
        <v>0.76554260000000007</v>
      </c>
      <c r="I31" s="50"/>
      <c r="J31" s="50"/>
      <c r="K31" s="50"/>
      <c r="L31" s="50"/>
      <c r="M31" s="50"/>
      <c r="N31" s="51"/>
      <c r="O31" s="19">
        <f t="shared" si="1"/>
        <v>6.9132531099999985</v>
      </c>
      <c r="AF31" s="9"/>
    </row>
    <row r="32" spans="2:32" ht="24.95" customHeight="1">
      <c r="B32" s="38" t="s">
        <v>91</v>
      </c>
      <c r="C32" s="39">
        <f>+C7+C29</f>
        <v>468.31608534999998</v>
      </c>
      <c r="D32" s="40">
        <f t="shared" ref="D32:N32" si="7">+D7+D29</f>
        <v>381.00707792000003</v>
      </c>
      <c r="E32" s="40">
        <f t="shared" si="7"/>
        <v>396.87616929000001</v>
      </c>
      <c r="F32" s="40">
        <f t="shared" si="7"/>
        <v>817.1426785299999</v>
      </c>
      <c r="G32" s="40">
        <f t="shared" si="7"/>
        <v>398.51981360000008</v>
      </c>
      <c r="H32" s="40">
        <f t="shared" si="7"/>
        <v>371.47805260000001</v>
      </c>
      <c r="I32" s="40">
        <f t="shared" si="7"/>
        <v>0</v>
      </c>
      <c r="J32" s="40">
        <f t="shared" si="7"/>
        <v>0</v>
      </c>
      <c r="K32" s="40">
        <f t="shared" si="7"/>
        <v>0</v>
      </c>
      <c r="L32" s="40">
        <f t="shared" si="7"/>
        <v>0</v>
      </c>
      <c r="M32" s="40">
        <f t="shared" si="7"/>
        <v>0</v>
      </c>
      <c r="N32" s="41">
        <f t="shared" si="7"/>
        <v>0</v>
      </c>
      <c r="O32" s="41">
        <f>SUM(C32:N32)</f>
        <v>2833.33987729</v>
      </c>
      <c r="AF32" s="9"/>
    </row>
    <row r="33" spans="1:32" ht="8.25" customHeight="1">
      <c r="B33" s="42"/>
      <c r="C33" s="36"/>
      <c r="D33" s="37"/>
      <c r="E33" s="37"/>
      <c r="F33" s="37"/>
      <c r="G33" s="37"/>
      <c r="H33" s="37"/>
      <c r="I33" s="37"/>
      <c r="J33" s="37"/>
      <c r="K33" s="37"/>
      <c r="L33" s="37"/>
      <c r="M33" s="37"/>
      <c r="N33" s="19"/>
      <c r="O33" s="19"/>
      <c r="AF33" s="9"/>
    </row>
    <row r="34" spans="1:32" ht="24.95" customHeight="1">
      <c r="B34" s="25" t="s">
        <v>92</v>
      </c>
      <c r="C34" s="33">
        <f>SUM(C35:C36)</f>
        <v>11.973792759999998</v>
      </c>
      <c r="D34" s="34">
        <f t="shared" ref="D34:N34" si="8">SUM(D35:D36)</f>
        <v>8.7327982300000002</v>
      </c>
      <c r="E34" s="34">
        <f t="shared" si="8"/>
        <v>10.825546990000001</v>
      </c>
      <c r="F34" s="34">
        <f t="shared" si="8"/>
        <v>12.33935284</v>
      </c>
      <c r="G34" s="34">
        <f t="shared" si="8"/>
        <v>15.685463670000001</v>
      </c>
      <c r="H34" s="34">
        <f t="shared" si="8"/>
        <v>18.427153320000002</v>
      </c>
      <c r="I34" s="34">
        <f t="shared" si="8"/>
        <v>0</v>
      </c>
      <c r="J34" s="34">
        <f t="shared" si="8"/>
        <v>0</v>
      </c>
      <c r="K34" s="34">
        <f t="shared" si="8"/>
        <v>0</v>
      </c>
      <c r="L34" s="34">
        <f t="shared" si="8"/>
        <v>0</v>
      </c>
      <c r="M34" s="34">
        <f t="shared" si="8"/>
        <v>0</v>
      </c>
      <c r="N34" s="22">
        <f t="shared" si="8"/>
        <v>0</v>
      </c>
      <c r="O34" s="22">
        <f>SUM(C34:N34)</f>
        <v>77.984107810000012</v>
      </c>
      <c r="AF34" s="9"/>
    </row>
    <row r="35" spans="1:32">
      <c r="B35" s="43" t="s">
        <v>93</v>
      </c>
      <c r="C35" s="49">
        <v>3.2826772600000003</v>
      </c>
      <c r="D35" s="50">
        <v>1.63217707</v>
      </c>
      <c r="E35" s="50">
        <v>0.61701094000000001</v>
      </c>
      <c r="F35" s="50">
        <v>1.6579046400000002</v>
      </c>
      <c r="G35" s="50">
        <v>9.8943088699999997</v>
      </c>
      <c r="H35" s="50">
        <v>10.331606710000001</v>
      </c>
      <c r="I35" s="50"/>
      <c r="J35" s="50"/>
      <c r="K35" s="50"/>
      <c r="L35" s="50"/>
      <c r="M35" s="50"/>
      <c r="N35" s="51"/>
      <c r="O35" s="19">
        <f>SUM(C35:N35)</f>
        <v>27.415685490000001</v>
      </c>
      <c r="AF35" s="9"/>
    </row>
    <row r="36" spans="1:32">
      <c r="B36" s="44" t="s">
        <v>94</v>
      </c>
      <c r="C36" s="52">
        <v>8.6911154999999987</v>
      </c>
      <c r="D36" s="53">
        <v>7.1006211600000011</v>
      </c>
      <c r="E36" s="53">
        <v>10.208536050000001</v>
      </c>
      <c r="F36" s="53">
        <v>10.6814482</v>
      </c>
      <c r="G36" s="53">
        <v>5.7911548000000002</v>
      </c>
      <c r="H36" s="53">
        <v>8.0955466100000013</v>
      </c>
      <c r="I36" s="53"/>
      <c r="J36" s="53"/>
      <c r="K36" s="53"/>
      <c r="L36" s="53"/>
      <c r="M36" s="53"/>
      <c r="N36" s="54"/>
      <c r="O36" s="47">
        <f>SUM(C36:N36)</f>
        <v>50.568422320000003</v>
      </c>
      <c r="AF36" s="9"/>
    </row>
    <row r="37" spans="1:32">
      <c r="B37" s="767" t="s">
        <v>95</v>
      </c>
      <c r="C37" s="767"/>
      <c r="D37" s="767"/>
      <c r="E37" s="767"/>
      <c r="F37" s="767"/>
      <c r="G37" s="767"/>
      <c r="H37" s="767"/>
      <c r="I37" s="767"/>
      <c r="J37" s="767"/>
      <c r="K37" s="767"/>
      <c r="L37" s="767"/>
      <c r="M37" s="767"/>
      <c r="N37" s="767"/>
      <c r="O37" s="767"/>
      <c r="AF37" s="9"/>
    </row>
    <row r="38" spans="1:32">
      <c r="A38" s="9"/>
      <c r="B38" s="683" t="s">
        <v>694</v>
      </c>
      <c r="C38" s="268"/>
      <c r="D38" s="268"/>
      <c r="E38" s="268"/>
      <c r="F38" s="268"/>
      <c r="G38" s="268"/>
      <c r="H38" s="268"/>
      <c r="I38" s="268"/>
      <c r="J38" s="268"/>
      <c r="K38" s="268"/>
      <c r="L38" s="268"/>
      <c r="M38" s="268"/>
      <c r="N38" s="268"/>
      <c r="O38" s="268"/>
      <c r="P38" s="9"/>
    </row>
    <row r="39" spans="1:32">
      <c r="A39" s="9"/>
      <c r="B39" s="769" t="s">
        <v>108</v>
      </c>
      <c r="C39" s="769"/>
      <c r="D39" s="769"/>
      <c r="E39" s="769"/>
      <c r="F39" s="769"/>
      <c r="G39" s="769"/>
      <c r="H39" s="769"/>
      <c r="I39" s="769"/>
      <c r="J39" s="769"/>
      <c r="K39" s="769"/>
      <c r="L39" s="769"/>
      <c r="M39" s="769"/>
      <c r="N39" s="769"/>
      <c r="O39" s="769"/>
      <c r="P39" s="9"/>
    </row>
    <row r="40" spans="1:32" ht="15.75" customHeight="1">
      <c r="B40" s="769"/>
      <c r="C40" s="769"/>
      <c r="D40" s="769"/>
      <c r="E40" s="769"/>
      <c r="F40" s="769"/>
      <c r="G40" s="769"/>
      <c r="H40" s="769"/>
      <c r="I40" s="769"/>
      <c r="J40" s="769"/>
      <c r="K40" s="769"/>
      <c r="L40" s="769"/>
      <c r="M40" s="769"/>
      <c r="N40" s="769"/>
      <c r="O40" s="769"/>
    </row>
    <row r="41" spans="1:32">
      <c r="B41" s="9"/>
    </row>
    <row r="42" spans="1:32">
      <c r="B42" s="9"/>
    </row>
  </sheetData>
  <mergeCells count="3">
    <mergeCell ref="B37:O37"/>
    <mergeCell ref="B39:O39"/>
    <mergeCell ref="B40:O40"/>
  </mergeCells>
  <printOptions horizontalCentered="1"/>
  <pageMargins left="0.7" right="0.7" top="0.75" bottom="0.75" header="0.3" footer="0.3"/>
  <pageSetup scale="7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Z125"/>
  <sheetViews>
    <sheetView workbookViewId="0">
      <pane xSplit="2" ySplit="6" topLeftCell="L7" activePane="bottomRight" state="frozen"/>
      <selection pane="topRight" activeCell="C1" sqref="C1"/>
      <selection pane="bottomLeft" activeCell="A7" sqref="A7"/>
      <selection pane="bottomRight" activeCell="C7" sqref="C7"/>
    </sheetView>
  </sheetViews>
  <sheetFormatPr baseColWidth="10" defaultRowHeight="15"/>
  <cols>
    <col min="1" max="1" width="1.85546875" customWidth="1"/>
    <col min="2" max="2" width="54.5703125" customWidth="1"/>
    <col min="3" max="17" width="11.7109375" customWidth="1"/>
    <col min="18" max="18" width="2.7109375" customWidth="1"/>
  </cols>
  <sheetData>
    <row r="2" spans="2:26">
      <c r="B2" t="s">
        <v>18</v>
      </c>
    </row>
    <row r="3" spans="2:26">
      <c r="B3" t="s">
        <v>819</v>
      </c>
      <c r="M3" s="9"/>
    </row>
    <row r="4" spans="2:26">
      <c r="B4" t="s">
        <v>19</v>
      </c>
      <c r="J4" s="9"/>
    </row>
    <row r="5" spans="2:26" ht="8.1" customHeight="1"/>
    <row r="6" spans="2:26" ht="30" customHeight="1">
      <c r="B6" s="12" t="s">
        <v>20</v>
      </c>
      <c r="C6" s="13">
        <v>2005</v>
      </c>
      <c r="D6" s="13">
        <v>2006</v>
      </c>
      <c r="E6" s="13">
        <v>2007</v>
      </c>
      <c r="F6" s="13">
        <v>2008</v>
      </c>
      <c r="G6" s="13">
        <v>2009</v>
      </c>
      <c r="H6" s="13">
        <v>2010</v>
      </c>
      <c r="I6" s="13">
        <v>2011</v>
      </c>
      <c r="J6" s="13">
        <v>2012</v>
      </c>
      <c r="K6" s="13">
        <v>2013</v>
      </c>
      <c r="L6" s="13">
        <v>2014</v>
      </c>
      <c r="M6" s="14">
        <v>2015</v>
      </c>
      <c r="N6" s="14">
        <v>2016</v>
      </c>
      <c r="O6" s="14">
        <v>2017</v>
      </c>
      <c r="P6" s="14">
        <v>2018</v>
      </c>
      <c r="Q6" s="14">
        <v>2019</v>
      </c>
    </row>
    <row r="7" spans="2:26" ht="24.75" customHeight="1">
      <c r="B7" s="15" t="s">
        <v>21</v>
      </c>
      <c r="C7" s="16">
        <f>SUM(C8:C9)</f>
        <v>580.99475347999987</v>
      </c>
      <c r="D7" s="16">
        <f t="shared" ref="D7:N7" si="0">SUM(D8:D9)</f>
        <v>691.12101641000004</v>
      </c>
      <c r="E7" s="16">
        <f t="shared" si="0"/>
        <v>747.27738537000005</v>
      </c>
      <c r="F7" s="16">
        <f t="shared" si="0"/>
        <v>833.29411133999997</v>
      </c>
      <c r="G7" s="16">
        <f t="shared" si="0"/>
        <v>720.23583886000006</v>
      </c>
      <c r="H7" s="16">
        <f t="shared" si="0"/>
        <v>776.80133876000002</v>
      </c>
      <c r="I7" s="16">
        <f t="shared" si="0"/>
        <v>916.08128002000001</v>
      </c>
      <c r="J7" s="16">
        <f t="shared" si="0"/>
        <v>946.07800179000014</v>
      </c>
      <c r="K7" s="16">
        <f t="shared" si="0"/>
        <v>951.36309116000007</v>
      </c>
      <c r="L7" s="16">
        <f t="shared" si="0"/>
        <v>971.95814317999998</v>
      </c>
      <c r="M7" s="16">
        <f t="shared" si="0"/>
        <v>978.54200412</v>
      </c>
      <c r="N7" s="16">
        <f t="shared" si="0"/>
        <v>938.44552713999997</v>
      </c>
      <c r="O7" s="16">
        <f t="shared" ref="O7" si="1">SUM(O8:O9)</f>
        <v>963.12556581000013</v>
      </c>
      <c r="P7" s="16">
        <f t="shared" ref="P7:Q7" si="2">SUM(P8:P9)</f>
        <v>1057.4279416889999</v>
      </c>
      <c r="Q7" s="16">
        <f t="shared" si="2"/>
        <v>1103.33149284</v>
      </c>
    </row>
    <row r="8" spans="2:26" ht="18" customHeight="1">
      <c r="B8" s="17" t="s">
        <v>22</v>
      </c>
      <c r="C8" s="18">
        <v>266.83454357999994</v>
      </c>
      <c r="D8" s="18">
        <v>296.24975779999994</v>
      </c>
      <c r="E8" s="18">
        <v>312.79042871000001</v>
      </c>
      <c r="F8" s="18">
        <v>322.34875287</v>
      </c>
      <c r="G8" s="18">
        <v>348.42414838999997</v>
      </c>
      <c r="H8" s="18">
        <v>344.90434104999997</v>
      </c>
      <c r="I8" s="18">
        <v>391.75452458999996</v>
      </c>
      <c r="J8" s="18">
        <v>401.85049090000001</v>
      </c>
      <c r="K8" s="18">
        <v>408.87257983000001</v>
      </c>
      <c r="L8" s="18">
        <v>416.04266380999996</v>
      </c>
      <c r="M8" s="19">
        <v>452.39467778000005</v>
      </c>
      <c r="N8" s="51">
        <v>457.81306271999995</v>
      </c>
      <c r="O8" s="51">
        <v>468.10137352000004</v>
      </c>
      <c r="P8" s="51">
        <v>505.61505469899998</v>
      </c>
      <c r="Q8" s="51">
        <v>526.05614435000007</v>
      </c>
    </row>
    <row r="9" spans="2:26" ht="18" customHeight="1">
      <c r="B9" s="17" t="s">
        <v>23</v>
      </c>
      <c r="C9" s="20">
        <v>314.16020989999998</v>
      </c>
      <c r="D9" s="20">
        <v>394.87125861000004</v>
      </c>
      <c r="E9" s="20">
        <v>434.48695666000003</v>
      </c>
      <c r="F9" s="20">
        <v>510.94535846999997</v>
      </c>
      <c r="G9" s="20">
        <v>371.81169047000003</v>
      </c>
      <c r="H9" s="20">
        <v>431.89699771000005</v>
      </c>
      <c r="I9" s="20">
        <v>524.32675543000005</v>
      </c>
      <c r="J9" s="20">
        <v>544.22751089000008</v>
      </c>
      <c r="K9" s="20">
        <v>542.49051133</v>
      </c>
      <c r="L9" s="20">
        <v>555.91547937000007</v>
      </c>
      <c r="M9" s="19">
        <v>526.14732633999995</v>
      </c>
      <c r="N9" s="51">
        <v>480.63246442000002</v>
      </c>
      <c r="O9" s="51">
        <v>495.02419229000003</v>
      </c>
      <c r="P9" s="51">
        <v>551.81288699000004</v>
      </c>
      <c r="Q9" s="51">
        <v>577.27534848999994</v>
      </c>
    </row>
    <row r="10" spans="2:26" ht="24.75" customHeight="1">
      <c r="B10" s="15" t="s">
        <v>24</v>
      </c>
      <c r="C10" s="21">
        <f>SUM(C11:C13)</f>
        <v>422.23004723000003</v>
      </c>
      <c r="D10" s="21">
        <f t="shared" ref="D10:N10" si="3">SUM(D11:D13)</f>
        <v>493.19669437000005</v>
      </c>
      <c r="E10" s="21">
        <f t="shared" si="3"/>
        <v>603.64228869999999</v>
      </c>
      <c r="F10" s="21">
        <f t="shared" si="3"/>
        <v>647.36101774999997</v>
      </c>
      <c r="G10" s="21">
        <f t="shared" si="3"/>
        <v>613.61209085999997</v>
      </c>
      <c r="H10" s="21">
        <f t="shared" si="3"/>
        <v>630.13533676999987</v>
      </c>
      <c r="I10" s="21">
        <f t="shared" si="3"/>
        <v>722.82927984000003</v>
      </c>
      <c r="J10" s="21">
        <f t="shared" si="3"/>
        <v>813.3775202700001</v>
      </c>
      <c r="K10" s="21">
        <f t="shared" si="3"/>
        <v>951.6828137</v>
      </c>
      <c r="L10" s="21">
        <f t="shared" si="3"/>
        <v>971.01087833999998</v>
      </c>
      <c r="M10" s="21">
        <f t="shared" si="3"/>
        <v>966.21964000000014</v>
      </c>
      <c r="N10" s="21">
        <f t="shared" si="3"/>
        <v>1040.4787777900001</v>
      </c>
      <c r="O10" s="21">
        <f t="shared" ref="O10" si="4">SUM(O11:O13)</f>
        <v>1086.93990463</v>
      </c>
      <c r="P10" s="21">
        <f t="shared" ref="P10:Q10" si="5">SUM(P11:P13)</f>
        <v>1133.4237147700001</v>
      </c>
      <c r="Q10" s="21">
        <f t="shared" si="5"/>
        <v>1179.39369164</v>
      </c>
      <c r="U10" s="23">
        <v>1773.16475186</v>
      </c>
      <c r="V10" s="23">
        <v>1946.9405661500002</v>
      </c>
      <c r="W10" s="23">
        <v>210.81341880999997</v>
      </c>
      <c r="X10" s="23">
        <v>173.22567344300001</v>
      </c>
      <c r="Y10" s="23">
        <v>122.82912459000001</v>
      </c>
      <c r="Z10" s="23">
        <v>261.20578659</v>
      </c>
    </row>
    <row r="11" spans="2:26" ht="18" customHeight="1">
      <c r="B11" s="17" t="s">
        <v>25</v>
      </c>
      <c r="C11" s="20">
        <v>100.50494403000002</v>
      </c>
      <c r="D11" s="20">
        <v>117.79400077</v>
      </c>
      <c r="E11" s="20">
        <v>133.20046208000002</v>
      </c>
      <c r="F11" s="20">
        <v>149.58114702</v>
      </c>
      <c r="G11" s="20">
        <v>130.36951070000001</v>
      </c>
      <c r="H11" s="20">
        <v>126.96206061000001</v>
      </c>
      <c r="I11" s="20">
        <v>146.19376811000001</v>
      </c>
      <c r="J11" s="20">
        <v>189.89171966000004</v>
      </c>
      <c r="K11" s="20">
        <v>207.25618646999996</v>
      </c>
      <c r="L11" s="20">
        <v>202.00329078000001</v>
      </c>
      <c r="M11" s="19">
        <v>205.35987635999999</v>
      </c>
      <c r="N11" s="51">
        <v>213.70134976</v>
      </c>
      <c r="O11" s="51">
        <v>220.41564618999999</v>
      </c>
      <c r="P11" s="51">
        <v>235.48800986000001</v>
      </c>
      <c r="Q11" s="51">
        <v>244.90978722</v>
      </c>
    </row>
    <row r="12" spans="2:26" ht="18" customHeight="1">
      <c r="B12" s="17" t="s">
        <v>26</v>
      </c>
      <c r="C12" s="20">
        <v>167.77280325000001</v>
      </c>
      <c r="D12" s="20">
        <v>198.68596201</v>
      </c>
      <c r="E12" s="20">
        <v>230.67878702999997</v>
      </c>
      <c r="F12" s="20">
        <v>250.43333694</v>
      </c>
      <c r="G12" s="20">
        <v>266.52161687</v>
      </c>
      <c r="H12" s="20">
        <v>259.73748164999995</v>
      </c>
      <c r="I12" s="20">
        <v>321.37936353000003</v>
      </c>
      <c r="J12" s="20">
        <v>312.14182416999995</v>
      </c>
      <c r="K12" s="20">
        <v>361.65151451999998</v>
      </c>
      <c r="L12" s="20">
        <v>387.36842596000002</v>
      </c>
      <c r="M12" s="19">
        <v>403.30887011000004</v>
      </c>
      <c r="N12" s="51">
        <v>429.10110758000002</v>
      </c>
      <c r="O12" s="51">
        <v>452.70902484999999</v>
      </c>
      <c r="P12" s="51">
        <v>477.2387521</v>
      </c>
      <c r="Q12" s="51">
        <v>511.71029463999997</v>
      </c>
    </row>
    <row r="13" spans="2:26" ht="18" customHeight="1">
      <c r="B13" s="17" t="s">
        <v>22</v>
      </c>
      <c r="C13" s="20">
        <v>153.95229995</v>
      </c>
      <c r="D13" s="20">
        <v>176.71673159000002</v>
      </c>
      <c r="E13" s="20">
        <v>239.76303959000001</v>
      </c>
      <c r="F13" s="20">
        <v>247.34653379000002</v>
      </c>
      <c r="G13" s="20">
        <v>216.72096328999996</v>
      </c>
      <c r="H13" s="20">
        <v>243.43579450999999</v>
      </c>
      <c r="I13" s="20">
        <v>255.25614819999998</v>
      </c>
      <c r="J13" s="20">
        <v>311.34397644000006</v>
      </c>
      <c r="K13" s="20">
        <v>382.77511270999997</v>
      </c>
      <c r="L13" s="20">
        <v>381.63916159999997</v>
      </c>
      <c r="M13" s="19">
        <v>357.55089353000005</v>
      </c>
      <c r="N13" s="51">
        <v>397.67632044999999</v>
      </c>
      <c r="O13" s="51">
        <v>413.81523359000005</v>
      </c>
      <c r="P13" s="51">
        <v>420.69695280999997</v>
      </c>
      <c r="Q13" s="51">
        <v>422.77360977999996</v>
      </c>
    </row>
    <row r="14" spans="2:26" ht="24.95" customHeight="1">
      <c r="B14" s="15" t="s">
        <v>27</v>
      </c>
      <c r="C14" s="21">
        <v>83.161609070000011</v>
      </c>
      <c r="D14" s="21">
        <v>91.914372790000002</v>
      </c>
      <c r="E14" s="21">
        <v>94.918466070000008</v>
      </c>
      <c r="F14" s="21">
        <v>90.750541939999991</v>
      </c>
      <c r="G14" s="21">
        <v>65.887424119999991</v>
      </c>
      <c r="H14" s="21">
        <v>68.77282366</v>
      </c>
      <c r="I14" s="21">
        <v>76.72698844</v>
      </c>
      <c r="J14" s="21">
        <v>83.752388580000002</v>
      </c>
      <c r="K14" s="21">
        <v>95.075371989999994</v>
      </c>
      <c r="L14" s="21">
        <v>85.148244290000008</v>
      </c>
      <c r="M14" s="22">
        <v>88.915980859999991</v>
      </c>
      <c r="N14" s="603">
        <v>96.842708970000004</v>
      </c>
      <c r="O14" s="603">
        <v>98.503843399999994</v>
      </c>
      <c r="P14" s="603">
        <v>105.28891768</v>
      </c>
      <c r="Q14" s="603">
        <v>107.66271146</v>
      </c>
    </row>
    <row r="15" spans="2:26" ht="24.95" customHeight="1">
      <c r="B15" s="15" t="s">
        <v>28</v>
      </c>
      <c r="C15" s="21">
        <f>SUM(C16:C21)</f>
        <v>50.207312896000005</v>
      </c>
      <c r="D15" s="21">
        <f t="shared" ref="D15:N15" si="6">SUM(D16:D21)</f>
        <v>48.617873369999998</v>
      </c>
      <c r="E15" s="21">
        <f t="shared" si="6"/>
        <v>49.132073160000004</v>
      </c>
      <c r="F15" s="21">
        <f t="shared" si="6"/>
        <v>48.893099189999994</v>
      </c>
      <c r="G15" s="21">
        <f t="shared" si="6"/>
        <v>47.060069600000006</v>
      </c>
      <c r="H15" s="21">
        <f t="shared" si="6"/>
        <v>55.093195440000002</v>
      </c>
      <c r="I15" s="21">
        <f t="shared" si="6"/>
        <v>68.790915580000004</v>
      </c>
      <c r="J15" s="21">
        <f t="shared" si="6"/>
        <v>69.77691652</v>
      </c>
      <c r="K15" s="21">
        <f t="shared" si="6"/>
        <v>70.513720660000004</v>
      </c>
      <c r="L15" s="21">
        <f t="shared" si="6"/>
        <v>73.405875739999999</v>
      </c>
      <c r="M15" s="21">
        <f t="shared" si="6"/>
        <v>80.202974350000005</v>
      </c>
      <c r="N15" s="21">
        <f t="shared" si="6"/>
        <v>84.547142190000017</v>
      </c>
      <c r="O15" s="21">
        <f t="shared" ref="O15" si="7">SUM(O16:O21)</f>
        <v>84.911337422999992</v>
      </c>
      <c r="P15" s="21">
        <f t="shared" ref="P15:Q15" si="8">SUM(P16:P21)</f>
        <v>86.915482659999995</v>
      </c>
      <c r="Q15" s="21">
        <f t="shared" si="8"/>
        <v>93.712293769999988</v>
      </c>
    </row>
    <row r="16" spans="2:26" ht="18" customHeight="1">
      <c r="B16" s="17" t="s">
        <v>29</v>
      </c>
      <c r="C16" s="20">
        <v>5.8852691200000002</v>
      </c>
      <c r="D16" s="20">
        <v>6.6270640999999992</v>
      </c>
      <c r="E16" s="20">
        <v>6.3848275399999999</v>
      </c>
      <c r="F16" s="20">
        <v>6.7602532999999996</v>
      </c>
      <c r="G16" s="20">
        <v>6.3627497999999996</v>
      </c>
      <c r="H16" s="20">
        <v>5.8770723600000006</v>
      </c>
      <c r="I16" s="20">
        <v>9.5508770199999997</v>
      </c>
      <c r="J16" s="20">
        <v>10.373786239999999</v>
      </c>
      <c r="K16" s="20">
        <v>9.5211651100000019</v>
      </c>
      <c r="L16" s="20">
        <v>10.10327116</v>
      </c>
      <c r="M16" s="19">
        <v>9.8791772600000005</v>
      </c>
      <c r="N16" s="51">
        <v>9.6131569700000004</v>
      </c>
      <c r="O16" s="51">
        <v>10.180515549999999</v>
      </c>
      <c r="P16" s="51">
        <v>10.59310981</v>
      </c>
      <c r="Q16" s="51">
        <v>10.860100110000001</v>
      </c>
    </row>
    <row r="17" spans="2:22" ht="18" customHeight="1">
      <c r="B17" s="17" t="s">
        <v>30</v>
      </c>
      <c r="C17" s="20">
        <v>11.09632302</v>
      </c>
      <c r="D17" s="20">
        <v>13.409729890000003</v>
      </c>
      <c r="E17" s="20">
        <v>13.281812250000003</v>
      </c>
      <c r="F17" s="20">
        <v>13.529955229999999</v>
      </c>
      <c r="G17" s="20">
        <v>14.92922815</v>
      </c>
      <c r="H17" s="20">
        <v>17.05119565</v>
      </c>
      <c r="I17" s="20">
        <v>19.602797840000001</v>
      </c>
      <c r="J17" s="20">
        <v>15.7861689</v>
      </c>
      <c r="K17" s="20">
        <v>14.004910429999999</v>
      </c>
      <c r="L17" s="20">
        <v>15.821667349999998</v>
      </c>
      <c r="M17" s="19">
        <v>14.80370089</v>
      </c>
      <c r="N17" s="51">
        <v>14.727070659999999</v>
      </c>
      <c r="O17" s="51">
        <v>13.561507763000002</v>
      </c>
      <c r="P17" s="51">
        <v>11.68572749</v>
      </c>
      <c r="Q17" s="51">
        <v>12.56936148</v>
      </c>
    </row>
    <row r="18" spans="2:22" ht="18" customHeight="1">
      <c r="B18" s="17" t="s">
        <v>31</v>
      </c>
      <c r="C18" s="20">
        <v>20.508120356999999</v>
      </c>
      <c r="D18" s="20">
        <v>13.2023429</v>
      </c>
      <c r="E18" s="20">
        <v>13.008848239999999</v>
      </c>
      <c r="F18" s="20">
        <v>12.960622579999999</v>
      </c>
      <c r="G18" s="20">
        <v>11.909486999999999</v>
      </c>
      <c r="H18" s="20">
        <v>15.420694259999999</v>
      </c>
      <c r="I18" s="20">
        <v>17.511527359999999</v>
      </c>
      <c r="J18" s="20">
        <v>19.865141699999999</v>
      </c>
      <c r="K18" s="20">
        <v>21.45149627</v>
      </c>
      <c r="L18" s="20">
        <v>21.930751010000005</v>
      </c>
      <c r="M18" s="19">
        <v>24.206254070000004</v>
      </c>
      <c r="N18" s="51">
        <v>24.970669730000004</v>
      </c>
      <c r="O18" s="51">
        <v>24.972081260000003</v>
      </c>
      <c r="P18" s="51">
        <v>24.64511461</v>
      </c>
      <c r="Q18" s="51">
        <v>25.659978110000001</v>
      </c>
    </row>
    <row r="19" spans="2:22" ht="18" customHeight="1">
      <c r="B19" s="17" t="s">
        <v>32</v>
      </c>
      <c r="C19" s="20">
        <v>12.54488066</v>
      </c>
      <c r="D19" s="20">
        <v>14.725003269999998</v>
      </c>
      <c r="E19" s="20">
        <v>15.808576379999998</v>
      </c>
      <c r="F19" s="20">
        <v>15.108407759999999</v>
      </c>
      <c r="G19" s="20">
        <v>13.463371070000001</v>
      </c>
      <c r="H19" s="20">
        <v>16.143101909999999</v>
      </c>
      <c r="I19" s="20">
        <v>21.524198179999999</v>
      </c>
      <c r="J19" s="20">
        <v>23.066603279999999</v>
      </c>
      <c r="K19" s="20">
        <v>24.850095970000002</v>
      </c>
      <c r="L19" s="20">
        <v>24.8655328</v>
      </c>
      <c r="M19" s="19">
        <v>27.767414800000001</v>
      </c>
      <c r="N19" s="51">
        <v>30.29461637</v>
      </c>
      <c r="O19" s="51">
        <v>32.499122129999996</v>
      </c>
      <c r="P19" s="51">
        <v>36.510081499999998</v>
      </c>
      <c r="Q19" s="51">
        <v>39.593548579999997</v>
      </c>
    </row>
    <row r="20" spans="2:22" ht="18" customHeight="1">
      <c r="B20" s="17" t="s">
        <v>33</v>
      </c>
      <c r="C20" s="20">
        <v>0.17271973900000001</v>
      </c>
      <c r="D20" s="20">
        <v>0.65373320999999995</v>
      </c>
      <c r="E20" s="20">
        <v>0.64800874999999991</v>
      </c>
      <c r="F20" s="20">
        <v>0.53386032000000005</v>
      </c>
      <c r="G20" s="20">
        <v>0.39523357999999997</v>
      </c>
      <c r="H20" s="20">
        <v>0.60113125999999995</v>
      </c>
      <c r="I20" s="20">
        <v>0.60151518000000015</v>
      </c>
      <c r="J20" s="20">
        <v>0.68521639999999995</v>
      </c>
      <c r="K20" s="20">
        <v>0.6860528800000002</v>
      </c>
      <c r="L20" s="20">
        <v>0.68465341999999996</v>
      </c>
      <c r="M20" s="19">
        <v>0.67326067000000012</v>
      </c>
      <c r="N20" s="51">
        <v>0.45699412</v>
      </c>
      <c r="O20" s="51">
        <v>0.39038543000000003</v>
      </c>
      <c r="P20" s="51">
        <v>0.57342003000000008</v>
      </c>
      <c r="Q20" s="51">
        <v>0.50284742000000004</v>
      </c>
    </row>
    <row r="21" spans="2:22" ht="18" customHeight="1">
      <c r="B21" s="17" t="s">
        <v>34</v>
      </c>
      <c r="C21" s="20"/>
      <c r="D21" s="20"/>
      <c r="E21" s="20"/>
      <c r="F21" s="20"/>
      <c r="G21" s="20"/>
      <c r="H21" s="20"/>
      <c r="I21" s="20"/>
      <c r="J21" s="20"/>
      <c r="K21" s="20"/>
      <c r="L21" s="20"/>
      <c r="M21" s="19">
        <v>2.8731666599999999</v>
      </c>
      <c r="N21" s="51">
        <v>4.4846343400000004</v>
      </c>
      <c r="O21" s="51">
        <v>3.3077252899999996</v>
      </c>
      <c r="P21" s="51">
        <v>2.90802922</v>
      </c>
      <c r="Q21" s="51">
        <v>4.5264580700000003</v>
      </c>
    </row>
    <row r="22" spans="2:22" ht="24.95" customHeight="1">
      <c r="B22" s="15" t="s">
        <v>35</v>
      </c>
      <c r="C22" s="21">
        <f>SUM(C23:C29)</f>
        <v>8.0636053399999987</v>
      </c>
      <c r="D22" s="21">
        <f t="shared" ref="D22:K22" si="9">SUM(D23:D29)</f>
        <v>9.7851211200000012</v>
      </c>
      <c r="E22" s="21">
        <f t="shared" si="9"/>
        <v>9.7668638600000008</v>
      </c>
      <c r="F22" s="21">
        <f t="shared" si="9"/>
        <v>9.4171423599999997</v>
      </c>
      <c r="G22" s="21">
        <f t="shared" si="9"/>
        <v>28.985907709999999</v>
      </c>
      <c r="H22" s="21">
        <f t="shared" si="9"/>
        <v>37.826280400000002</v>
      </c>
      <c r="I22" s="21">
        <f t="shared" si="9"/>
        <v>38.075763309999999</v>
      </c>
      <c r="J22" s="21">
        <f t="shared" si="9"/>
        <v>32.152238489999995</v>
      </c>
      <c r="K22" s="21">
        <f t="shared" si="9"/>
        <v>33.128883330000008</v>
      </c>
      <c r="L22" s="21">
        <f t="shared" ref="L22:Q22" si="10">SUM(L23:L27)</f>
        <v>31.87814882</v>
      </c>
      <c r="M22" s="21">
        <f t="shared" si="10"/>
        <v>60.609563379999997</v>
      </c>
      <c r="N22" s="21">
        <f t="shared" si="10"/>
        <v>61.359375199999995</v>
      </c>
      <c r="O22" s="21">
        <f t="shared" si="10"/>
        <v>62.237231510000001</v>
      </c>
      <c r="P22" s="21">
        <f t="shared" si="10"/>
        <v>64.87784474</v>
      </c>
      <c r="Q22" s="21">
        <f t="shared" si="10"/>
        <v>30.982705989999999</v>
      </c>
      <c r="S22" s="23"/>
    </row>
    <row r="23" spans="2:22" ht="18" customHeight="1">
      <c r="B23" s="17" t="s">
        <v>36</v>
      </c>
      <c r="C23" s="20">
        <v>8.0393595999999992</v>
      </c>
      <c r="D23" s="20">
        <v>9.3376325800000011</v>
      </c>
      <c r="E23" s="20">
        <v>9.3812067100000007</v>
      </c>
      <c r="F23" s="20">
        <v>9.0090693599999998</v>
      </c>
      <c r="G23" s="20">
        <v>5.2067335100000012</v>
      </c>
      <c r="H23" s="20">
        <v>8.232836129999999</v>
      </c>
      <c r="I23" s="20">
        <v>7.8066794500000007</v>
      </c>
      <c r="J23" s="20">
        <v>9.1970453799999987</v>
      </c>
      <c r="K23" s="20">
        <v>9.5494432100000015</v>
      </c>
      <c r="L23" s="20">
        <v>12.43238414</v>
      </c>
      <c r="M23" s="19">
        <v>9.8156062199999994</v>
      </c>
      <c r="N23" s="51">
        <v>10.819599500000001</v>
      </c>
      <c r="O23" s="51">
        <v>11.423638709999999</v>
      </c>
      <c r="P23" s="51">
        <v>11.65281401</v>
      </c>
      <c r="Q23" s="51">
        <v>14.394465760000001</v>
      </c>
      <c r="S23" s="23">
        <f>+M22-M23</f>
        <v>50.793957159999998</v>
      </c>
      <c r="T23" s="23">
        <f>+N22-N23</f>
        <v>50.539775699999993</v>
      </c>
      <c r="U23" s="23">
        <f>+P22-P23</f>
        <v>53.22503073</v>
      </c>
      <c r="V23" s="23">
        <f>+Q22-Q23</f>
        <v>16.588240229999997</v>
      </c>
    </row>
    <row r="24" spans="2:22" ht="18" customHeight="1">
      <c r="B24" s="17" t="s">
        <v>37</v>
      </c>
      <c r="C24" s="20">
        <v>2.4245740000000002E-2</v>
      </c>
      <c r="D24" s="20">
        <v>0.44748853999999993</v>
      </c>
      <c r="E24" s="20">
        <v>0.38565715</v>
      </c>
      <c r="F24" s="20">
        <v>0.40807300000000002</v>
      </c>
      <c r="G24" s="20">
        <v>0.40295000000000003</v>
      </c>
      <c r="H24" s="20">
        <v>0.47651558999999999</v>
      </c>
      <c r="I24" s="20">
        <v>0.50857000000000008</v>
      </c>
      <c r="J24" s="20">
        <v>0.50954124000000001</v>
      </c>
      <c r="K24" s="20">
        <v>0.53958600000000001</v>
      </c>
      <c r="L24" s="20">
        <v>0.55948796000000001</v>
      </c>
      <c r="M24" s="19">
        <v>0.52625</v>
      </c>
      <c r="N24" s="51">
        <v>0.61357441000000001</v>
      </c>
      <c r="O24" s="51">
        <v>0.80473565000000002</v>
      </c>
      <c r="P24" s="51">
        <v>0.92527401000000009</v>
      </c>
      <c r="Q24" s="51">
        <v>0.71036969999999999</v>
      </c>
      <c r="U24" s="23"/>
      <c r="V24" s="23"/>
    </row>
    <row r="25" spans="2:22" ht="18" customHeight="1">
      <c r="B25" s="17" t="s">
        <v>38</v>
      </c>
      <c r="C25" s="20"/>
      <c r="D25" s="20"/>
      <c r="E25" s="20"/>
      <c r="F25" s="20"/>
      <c r="G25" s="20">
        <v>23.376224199999999</v>
      </c>
      <c r="H25" s="20">
        <v>25.295503790000001</v>
      </c>
      <c r="I25" s="20">
        <v>26.168323749999999</v>
      </c>
      <c r="J25" s="20">
        <v>18.245783589999998</v>
      </c>
      <c r="K25" s="20">
        <v>17.777805040000004</v>
      </c>
      <c r="L25" s="20">
        <v>13.64713396</v>
      </c>
      <c r="M25" s="19">
        <v>0</v>
      </c>
      <c r="N25" s="51"/>
      <c r="O25" s="51"/>
      <c r="P25" s="51"/>
      <c r="Q25" s="51"/>
    </row>
    <row r="26" spans="2:22" ht="18" customHeight="1">
      <c r="B26" s="17" t="s">
        <v>39</v>
      </c>
      <c r="C26" s="20"/>
      <c r="D26" s="20"/>
      <c r="E26" s="20"/>
      <c r="F26" s="20"/>
      <c r="G26" s="20"/>
      <c r="H26" s="20">
        <v>3.8214248899999999</v>
      </c>
      <c r="I26" s="20">
        <v>3.5921901100000002</v>
      </c>
      <c r="J26" s="20">
        <v>4.1998682799999996</v>
      </c>
      <c r="K26" s="20">
        <v>5.2620490800000006</v>
      </c>
      <c r="L26" s="20">
        <v>5.2391427600000009</v>
      </c>
      <c r="M26" s="19">
        <v>5.4775989099999993</v>
      </c>
      <c r="N26" s="51">
        <v>6.8174575300000004</v>
      </c>
      <c r="O26" s="51">
        <v>6.6329183999999994</v>
      </c>
      <c r="P26" s="51">
        <v>7.3038109100000002</v>
      </c>
      <c r="Q26" s="51">
        <v>7.4142403100000003</v>
      </c>
    </row>
    <row r="27" spans="2:22" ht="18" customHeight="1">
      <c r="B27" s="17" t="s">
        <v>40</v>
      </c>
      <c r="C27" s="20"/>
      <c r="D27" s="20"/>
      <c r="E27" s="20"/>
      <c r="F27" s="20"/>
      <c r="G27" s="20"/>
      <c r="H27" s="20"/>
      <c r="I27" s="20"/>
      <c r="J27" s="20"/>
      <c r="K27" s="20"/>
      <c r="L27" s="20">
        <f t="shared" ref="L27:Q27" si="11">L28+L29</f>
        <v>0</v>
      </c>
      <c r="M27" s="20">
        <f t="shared" si="11"/>
        <v>44.790108250000003</v>
      </c>
      <c r="N27" s="20">
        <f t="shared" si="11"/>
        <v>43.108743759999996</v>
      </c>
      <c r="O27" s="20">
        <f t="shared" si="11"/>
        <v>43.375938750000003</v>
      </c>
      <c r="P27" s="20">
        <f t="shared" si="11"/>
        <v>44.995945809999995</v>
      </c>
      <c r="Q27" s="20">
        <f t="shared" si="11"/>
        <v>8.4636302200000006</v>
      </c>
    </row>
    <row r="28" spans="2:22" ht="18" customHeight="1">
      <c r="B28" s="24" t="s">
        <v>41</v>
      </c>
      <c r="C28" s="20"/>
      <c r="D28" s="20"/>
      <c r="E28" s="20"/>
      <c r="F28" s="20"/>
      <c r="G28" s="20"/>
      <c r="H28" s="20"/>
      <c r="I28" s="20"/>
      <c r="J28" s="20"/>
      <c r="K28" s="20"/>
      <c r="L28" s="20"/>
      <c r="M28" s="19">
        <v>28.725902179999999</v>
      </c>
      <c r="N28" s="51">
        <v>27.425576569999997</v>
      </c>
      <c r="O28" s="51">
        <v>27.063899290000002</v>
      </c>
      <c r="P28" s="51">
        <v>27.953218339999999</v>
      </c>
      <c r="Q28" s="51">
        <v>5.2794210800000005</v>
      </c>
    </row>
    <row r="29" spans="2:22" ht="18" customHeight="1">
      <c r="B29" s="24" t="s">
        <v>42</v>
      </c>
      <c r="C29" s="20"/>
      <c r="D29" s="20"/>
      <c r="E29" s="20"/>
      <c r="F29" s="20"/>
      <c r="G29" s="20"/>
      <c r="H29" s="20"/>
      <c r="I29" s="20"/>
      <c r="J29" s="20"/>
      <c r="K29" s="20"/>
      <c r="L29" s="20"/>
      <c r="M29" s="19">
        <v>16.064206070000001</v>
      </c>
      <c r="N29" s="51">
        <v>15.683167190000001</v>
      </c>
      <c r="O29" s="51">
        <v>16.312039460000001</v>
      </c>
      <c r="P29" s="51">
        <v>17.042727469999999</v>
      </c>
      <c r="Q29" s="51">
        <v>3.1842091400000001</v>
      </c>
    </row>
    <row r="30" spans="2:22" ht="24.95" customHeight="1">
      <c r="B30" s="25" t="s">
        <v>43</v>
      </c>
      <c r="C30" s="16">
        <f t="shared" ref="C30:K30" si="12">SUM(C31:C36)</f>
        <v>34.751070389999988</v>
      </c>
      <c r="D30" s="16">
        <f t="shared" si="12"/>
        <v>39.142042750000002</v>
      </c>
      <c r="E30" s="16">
        <f t="shared" si="12"/>
        <v>39.881398620000006</v>
      </c>
      <c r="F30" s="16">
        <f t="shared" si="12"/>
        <v>56.459527840000007</v>
      </c>
      <c r="G30" s="16">
        <f t="shared" si="12"/>
        <v>57.508436120000013</v>
      </c>
      <c r="H30" s="16">
        <f t="shared" si="12"/>
        <v>56.799350329999996</v>
      </c>
      <c r="I30" s="16">
        <f t="shared" si="12"/>
        <v>57.328558169999994</v>
      </c>
      <c r="J30" s="16">
        <f t="shared" si="12"/>
        <v>59.45755655</v>
      </c>
      <c r="K30" s="16">
        <f t="shared" si="12"/>
        <v>66.393187109999985</v>
      </c>
      <c r="L30" s="16">
        <f>SUM(L31:L36)</f>
        <v>61.326207050000008</v>
      </c>
      <c r="M30" s="16">
        <f>SUM(M31:M36)</f>
        <v>66.122878690000007</v>
      </c>
      <c r="N30" s="16">
        <f>SUM(N31:N37)</f>
        <v>100.95361968</v>
      </c>
      <c r="O30" s="16">
        <f>SUM(O31:O37)</f>
        <v>162.9626189</v>
      </c>
      <c r="P30" s="16">
        <f>SUM(P31:P37)</f>
        <v>169.57521297</v>
      </c>
      <c r="Q30" s="16">
        <f>SUM(Q31:Q37)</f>
        <v>180.24947698</v>
      </c>
    </row>
    <row r="31" spans="2:22" ht="18" customHeight="1">
      <c r="B31" s="17" t="s">
        <v>44</v>
      </c>
      <c r="C31" s="20">
        <v>34.469183399999991</v>
      </c>
      <c r="D31" s="20">
        <v>35.914578240000004</v>
      </c>
      <c r="E31" s="20">
        <v>36.0548924</v>
      </c>
      <c r="F31" s="20">
        <v>34.505393950000006</v>
      </c>
      <c r="G31" s="20">
        <v>35.544980110000004</v>
      </c>
      <c r="H31" s="20">
        <v>35.291120659999997</v>
      </c>
      <c r="I31" s="20">
        <v>35.398037919999993</v>
      </c>
      <c r="J31" s="20">
        <v>36.628249359999998</v>
      </c>
      <c r="K31" s="20">
        <v>36.779985359999998</v>
      </c>
      <c r="L31" s="20">
        <v>37.973595690000003</v>
      </c>
      <c r="M31" s="19">
        <v>40.532378410000007</v>
      </c>
      <c r="N31" s="51">
        <v>43.452039200000002</v>
      </c>
      <c r="O31" s="51">
        <v>44.483179989999996</v>
      </c>
      <c r="P31" s="51">
        <v>46.670677120000008</v>
      </c>
      <c r="Q31" s="51">
        <v>48.22767657</v>
      </c>
    </row>
    <row r="32" spans="2:22" ht="18" customHeight="1">
      <c r="B32" s="17" t="s">
        <v>45</v>
      </c>
      <c r="C32" s="20">
        <v>0.28188699</v>
      </c>
      <c r="D32" s="20">
        <v>0.38214031999999998</v>
      </c>
      <c r="E32" s="20">
        <v>0.40108914000000001</v>
      </c>
      <c r="F32" s="20">
        <v>0.39310799999999996</v>
      </c>
      <c r="G32" s="20">
        <v>0.33685598</v>
      </c>
      <c r="H32" s="20">
        <v>0.18784927999999998</v>
      </c>
      <c r="I32" s="20">
        <v>0.27507502</v>
      </c>
      <c r="J32" s="20">
        <v>0.36142502999999998</v>
      </c>
      <c r="K32" s="20">
        <v>0</v>
      </c>
      <c r="L32" s="20">
        <v>0</v>
      </c>
      <c r="M32" s="19">
        <v>0.40160952999999994</v>
      </c>
      <c r="N32" s="51">
        <v>0.37500030000000001</v>
      </c>
      <c r="O32" s="51">
        <v>0.43767860999999997</v>
      </c>
      <c r="P32" s="51">
        <v>0.56922501999999997</v>
      </c>
      <c r="Q32" s="51">
        <v>0.46213768999999999</v>
      </c>
    </row>
    <row r="33" spans="2:17" ht="18" customHeight="1">
      <c r="B33" s="17" t="s">
        <v>46</v>
      </c>
      <c r="C33" s="20"/>
      <c r="D33" s="20">
        <v>2.8453241899999999</v>
      </c>
      <c r="E33" s="20">
        <v>3.4254170800000003</v>
      </c>
      <c r="F33" s="20">
        <v>4.3083038900000004</v>
      </c>
      <c r="G33" s="20">
        <v>3.8487099800000002</v>
      </c>
      <c r="H33" s="20">
        <v>3.6430980900000001</v>
      </c>
      <c r="I33" s="20">
        <v>3.92217627</v>
      </c>
      <c r="J33" s="20">
        <v>4.1258074800000006</v>
      </c>
      <c r="K33" s="20">
        <v>4.4093048599999998</v>
      </c>
      <c r="L33" s="20">
        <v>4.2935786800000004</v>
      </c>
      <c r="M33" s="19">
        <v>4.8928015599999997</v>
      </c>
      <c r="N33" s="51">
        <v>5.1081990000000008</v>
      </c>
      <c r="O33" s="51">
        <v>5.4025777499999998</v>
      </c>
      <c r="P33" s="51">
        <v>5.7473295600000007</v>
      </c>
      <c r="Q33" s="51">
        <v>6.2175240800000005</v>
      </c>
    </row>
    <row r="34" spans="2:17" ht="18" customHeight="1">
      <c r="B34" s="17" t="s">
        <v>47</v>
      </c>
      <c r="C34" s="20"/>
      <c r="D34" s="20"/>
      <c r="E34" s="20"/>
      <c r="F34" s="20">
        <v>17.252722000000002</v>
      </c>
      <c r="G34" s="20">
        <v>17.77789005</v>
      </c>
      <c r="H34" s="20">
        <v>17.677282299999998</v>
      </c>
      <c r="I34" s="20">
        <v>17.73326896</v>
      </c>
      <c r="J34" s="20">
        <v>18.342074680000003</v>
      </c>
      <c r="K34" s="20">
        <v>18.445671889999996</v>
      </c>
      <c r="L34" s="20">
        <v>19.059032679999998</v>
      </c>
      <c r="M34" s="19">
        <v>20.29608919</v>
      </c>
      <c r="N34" s="51">
        <v>21.83701915</v>
      </c>
      <c r="O34" s="51">
        <v>22.367090019999999</v>
      </c>
      <c r="P34" s="51">
        <v>23.432357549999999</v>
      </c>
      <c r="Q34" s="51">
        <v>24.259508289999999</v>
      </c>
    </row>
    <row r="35" spans="2:17" ht="18" customHeight="1">
      <c r="B35" s="17" t="s">
        <v>48</v>
      </c>
      <c r="C35" s="20"/>
      <c r="D35" s="20"/>
      <c r="E35" s="20"/>
      <c r="F35" s="20"/>
      <c r="G35" s="20"/>
      <c r="H35" s="20"/>
      <c r="I35" s="20"/>
      <c r="J35" s="20"/>
      <c r="K35" s="20">
        <v>6.7582250000000004</v>
      </c>
      <c r="L35" s="20"/>
      <c r="M35" s="19"/>
      <c r="N35" s="51"/>
      <c r="O35" s="51"/>
      <c r="P35" s="51"/>
      <c r="Q35" s="51"/>
    </row>
    <row r="36" spans="2:17" ht="18" customHeight="1">
      <c r="B36" s="17" t="s">
        <v>49</v>
      </c>
      <c r="C36" s="20"/>
      <c r="D36" s="20"/>
      <c r="E36" s="20"/>
      <c r="F36" s="20"/>
      <c r="G36" s="20"/>
      <c r="H36" s="20"/>
      <c r="I36" s="20"/>
      <c r="J36" s="20"/>
      <c r="K36" s="20"/>
      <c r="L36" s="20"/>
      <c r="M36" s="19"/>
      <c r="N36" s="51">
        <v>23.155318170000001</v>
      </c>
      <c r="O36" s="51">
        <v>23.983185519999999</v>
      </c>
      <c r="P36" s="51">
        <v>23.658711479999997</v>
      </c>
      <c r="Q36" s="51">
        <v>27.650172280000003</v>
      </c>
    </row>
    <row r="37" spans="2:17" ht="18" customHeight="1">
      <c r="B37" s="17" t="s">
        <v>50</v>
      </c>
      <c r="C37" s="20"/>
      <c r="D37" s="20"/>
      <c r="E37" s="20"/>
      <c r="F37" s="20"/>
      <c r="G37" s="20"/>
      <c r="H37" s="20"/>
      <c r="I37" s="20"/>
      <c r="J37" s="20"/>
      <c r="K37" s="20"/>
      <c r="L37" s="20"/>
      <c r="M37" s="19"/>
      <c r="N37" s="51">
        <v>7.0260438599999997</v>
      </c>
      <c r="O37" s="51">
        <v>66.288907009999988</v>
      </c>
      <c r="P37" s="51">
        <v>69.49691224</v>
      </c>
      <c r="Q37" s="51">
        <v>73.432458069999996</v>
      </c>
    </row>
    <row r="38" spans="2:17" ht="24.95" customHeight="1">
      <c r="B38" s="26" t="s">
        <v>51</v>
      </c>
      <c r="C38" s="27">
        <f>+C7+C10+C14+C15+C22+C30</f>
        <v>1179.4083984060001</v>
      </c>
      <c r="D38" s="27">
        <f t="shared" ref="D38:N38" si="13">+D7+D10+D14+D15+D22+D30</f>
        <v>1373.7771208100003</v>
      </c>
      <c r="E38" s="27">
        <f t="shared" si="13"/>
        <v>1544.6184757800002</v>
      </c>
      <c r="F38" s="27">
        <f t="shared" si="13"/>
        <v>1686.1754404199999</v>
      </c>
      <c r="G38" s="27">
        <f t="shared" si="13"/>
        <v>1533.2897672700001</v>
      </c>
      <c r="H38" s="27">
        <f t="shared" si="13"/>
        <v>1625.4283253599999</v>
      </c>
      <c r="I38" s="27">
        <f t="shared" si="13"/>
        <v>1879.8327853599999</v>
      </c>
      <c r="J38" s="27">
        <f t="shared" si="13"/>
        <v>2004.5946222</v>
      </c>
      <c r="K38" s="27">
        <f t="shared" si="13"/>
        <v>2168.1570679500001</v>
      </c>
      <c r="L38" s="27">
        <f t="shared" si="13"/>
        <v>2194.72749742</v>
      </c>
      <c r="M38" s="27">
        <f t="shared" si="13"/>
        <v>2240.6130414000004</v>
      </c>
      <c r="N38" s="27">
        <f t="shared" si="13"/>
        <v>2322.6271509700005</v>
      </c>
      <c r="O38" s="27">
        <f t="shared" ref="O38" si="14">+O7+O10+O14+O15+O22+O30</f>
        <v>2458.6805016730004</v>
      </c>
      <c r="P38" s="27">
        <f t="shared" ref="P38:Q38" si="15">+P7+P10+P14+P15+P22+P30</f>
        <v>2617.509114509</v>
      </c>
      <c r="Q38" s="27">
        <f t="shared" si="15"/>
        <v>2695.3323726800004</v>
      </c>
    </row>
    <row r="39" spans="2:17" ht="30.75" customHeight="1">
      <c r="B39" s="28" t="s">
        <v>52</v>
      </c>
      <c r="C39" s="28"/>
      <c r="D39" s="28"/>
      <c r="E39" s="28"/>
      <c r="F39" s="28"/>
      <c r="G39" s="28"/>
      <c r="H39" s="28"/>
      <c r="I39" s="28"/>
      <c r="J39" s="28"/>
      <c r="K39" s="28"/>
      <c r="L39" s="28"/>
      <c r="M39" s="28"/>
      <c r="N39" s="28"/>
      <c r="O39" s="28"/>
      <c r="P39" s="28"/>
      <c r="Q39" s="31"/>
    </row>
    <row r="40" spans="2:17">
      <c r="L40" s="9"/>
      <c r="M40" s="9"/>
      <c r="N40" s="9"/>
      <c r="O40" s="9"/>
      <c r="P40" s="9"/>
      <c r="Q40" s="9"/>
    </row>
    <row r="43" spans="2:17">
      <c r="B43" t="s">
        <v>18</v>
      </c>
    </row>
    <row r="44" spans="2:17">
      <c r="B44" t="s">
        <v>819</v>
      </c>
    </row>
    <row r="45" spans="2:17">
      <c r="B45" t="s">
        <v>53</v>
      </c>
    </row>
    <row r="46" spans="2:17" ht="6" customHeight="1"/>
    <row r="47" spans="2:17" ht="30" customHeight="1">
      <c r="B47" s="12" t="s">
        <v>20</v>
      </c>
      <c r="C47" s="13">
        <v>2005</v>
      </c>
      <c r="D47" s="13">
        <v>2006</v>
      </c>
      <c r="E47" s="13">
        <v>2007</v>
      </c>
      <c r="F47" s="13">
        <v>2008</v>
      </c>
      <c r="G47" s="13">
        <v>2009</v>
      </c>
      <c r="H47" s="13">
        <v>2010</v>
      </c>
      <c r="I47" s="13">
        <v>2011</v>
      </c>
      <c r="J47" s="13">
        <v>2012</v>
      </c>
      <c r="K47" s="13">
        <v>2013</v>
      </c>
      <c r="L47" s="13">
        <v>2014</v>
      </c>
      <c r="M47" s="14">
        <v>2015</v>
      </c>
      <c r="N47" s="13">
        <v>2016</v>
      </c>
      <c r="O47" s="13">
        <v>2017</v>
      </c>
      <c r="P47" s="13">
        <v>2018</v>
      </c>
      <c r="Q47" s="13">
        <v>2019</v>
      </c>
    </row>
    <row r="48" spans="2:17" ht="30" customHeight="1">
      <c r="B48" s="15" t="s">
        <v>54</v>
      </c>
      <c r="C48" s="16">
        <f>+C49+C52+C56+C57+C64+C72</f>
        <v>100.00000000000001</v>
      </c>
      <c r="D48" s="16">
        <f t="shared" ref="D48:N48" si="16">+D49+D52+D56+D57+D64+D72</f>
        <v>99.999999999999972</v>
      </c>
      <c r="E48" s="16">
        <f t="shared" si="16"/>
        <v>100</v>
      </c>
      <c r="F48" s="16">
        <f t="shared" si="16"/>
        <v>100.00000000000001</v>
      </c>
      <c r="G48" s="16">
        <f t="shared" si="16"/>
        <v>99.999999999999986</v>
      </c>
      <c r="H48" s="16">
        <f t="shared" si="16"/>
        <v>100.00000000000001</v>
      </c>
      <c r="I48" s="16">
        <f t="shared" si="16"/>
        <v>99.999999999999986</v>
      </c>
      <c r="J48" s="16">
        <f t="shared" si="16"/>
        <v>100.00000000000001</v>
      </c>
      <c r="K48" s="16">
        <f t="shared" si="16"/>
        <v>99.999999999999986</v>
      </c>
      <c r="L48" s="16">
        <f t="shared" si="16"/>
        <v>100</v>
      </c>
      <c r="M48" s="16">
        <f t="shared" si="16"/>
        <v>99.999999999999986</v>
      </c>
      <c r="N48" s="16">
        <f t="shared" si="16"/>
        <v>99.999999999999986</v>
      </c>
      <c r="O48" s="16">
        <f t="shared" ref="O48" si="17">+O49+O52+O56+O57+O64+O72</f>
        <v>99.999999999999972</v>
      </c>
      <c r="P48" s="16">
        <f t="shared" ref="P48:Q48" si="18">+P49+P52+P56+P57+P64+P72</f>
        <v>100.00000000000001</v>
      </c>
      <c r="Q48" s="16">
        <f t="shared" si="18"/>
        <v>99.999999999999986</v>
      </c>
    </row>
    <row r="49" spans="2:17" ht="24.95" customHeight="1">
      <c r="B49" s="15" t="s">
        <v>21</v>
      </c>
      <c r="C49" s="16">
        <f>SUM(C50:C51)</f>
        <v>49.261541147682934</v>
      </c>
      <c r="D49" s="16">
        <f t="shared" ref="D49:N49" si="19">SUM(D50:D51)</f>
        <v>50.308088986261779</v>
      </c>
      <c r="E49" s="16">
        <f t="shared" si="19"/>
        <v>48.379415181644809</v>
      </c>
      <c r="F49" s="16">
        <f t="shared" si="19"/>
        <v>49.419182094861938</v>
      </c>
      <c r="G49" s="16">
        <f t="shared" si="19"/>
        <v>46.973237168494862</v>
      </c>
      <c r="H49" s="16">
        <f t="shared" si="19"/>
        <v>47.790562440700299</v>
      </c>
      <c r="I49" s="16">
        <f t="shared" si="19"/>
        <v>48.732062083094512</v>
      </c>
      <c r="J49" s="16">
        <f t="shared" si="19"/>
        <v>47.195477395409725</v>
      </c>
      <c r="K49" s="16">
        <f t="shared" si="19"/>
        <v>43.878882449209129</v>
      </c>
      <c r="L49" s="16">
        <f t="shared" si="19"/>
        <v>44.286051198728778</v>
      </c>
      <c r="M49" s="16">
        <f t="shared" si="19"/>
        <v>43.67295851802141</v>
      </c>
      <c r="N49" s="16">
        <f t="shared" si="19"/>
        <v>40.404484497138348</v>
      </c>
      <c r="O49" s="16">
        <f t="shared" ref="O49" si="20">SUM(O50:O51)</f>
        <v>39.172457143359807</v>
      </c>
      <c r="P49" s="16">
        <f t="shared" ref="P49:Q49" si="21">SUM(P50:P51)</f>
        <v>40.398252515248849</v>
      </c>
      <c r="Q49" s="16">
        <f t="shared" si="21"/>
        <v>40.934895600387293</v>
      </c>
    </row>
    <row r="50" spans="2:17" ht="18" customHeight="1">
      <c r="B50" s="17" t="s">
        <v>22</v>
      </c>
      <c r="C50" s="18">
        <f t="shared" ref="C50:N51" si="22">C8/C$38*100</f>
        <v>22.624439841248673</v>
      </c>
      <c r="D50" s="18">
        <f t="shared" si="22"/>
        <v>21.564615781730772</v>
      </c>
      <c r="E50" s="18">
        <f t="shared" si="22"/>
        <v>20.250335834682243</v>
      </c>
      <c r="F50" s="18">
        <f t="shared" si="22"/>
        <v>19.11715383481733</v>
      </c>
      <c r="G50" s="18">
        <f t="shared" si="22"/>
        <v>22.723959673347593</v>
      </c>
      <c r="H50" s="18">
        <f t="shared" si="22"/>
        <v>21.219289443206335</v>
      </c>
      <c r="I50" s="18">
        <f t="shared" si="22"/>
        <v>20.839860206767085</v>
      </c>
      <c r="J50" s="18">
        <f t="shared" si="22"/>
        <v>20.046471563361656</v>
      </c>
      <c r="K50" s="18">
        <f t="shared" si="22"/>
        <v>18.85807010359219</v>
      </c>
      <c r="L50" s="18">
        <f t="shared" si="22"/>
        <v>18.956461077699927</v>
      </c>
      <c r="M50" s="18">
        <f t="shared" si="22"/>
        <v>20.190665207292138</v>
      </c>
      <c r="N50" s="18">
        <f t="shared" si="22"/>
        <v>19.711001076035949</v>
      </c>
      <c r="O50" s="18">
        <f t="shared" ref="O50" si="23">O8/O$38*100</f>
        <v>19.038723136311617</v>
      </c>
      <c r="P50" s="18">
        <f t="shared" ref="P50:Q50" si="24">P8/P$38*100</f>
        <v>19.316649248567934</v>
      </c>
      <c r="Q50" s="18">
        <f t="shared" si="24"/>
        <v>19.517301453510029</v>
      </c>
    </row>
    <row r="51" spans="2:17" ht="18" customHeight="1">
      <c r="B51" s="17" t="s">
        <v>23</v>
      </c>
      <c r="C51" s="18">
        <f t="shared" si="22"/>
        <v>26.637101306434257</v>
      </c>
      <c r="D51" s="18">
        <f t="shared" si="22"/>
        <v>28.743473204531011</v>
      </c>
      <c r="E51" s="18">
        <f t="shared" si="22"/>
        <v>28.129079346962566</v>
      </c>
      <c r="F51" s="18">
        <f t="shared" si="22"/>
        <v>30.302028260044604</v>
      </c>
      <c r="G51" s="18">
        <f t="shared" si="22"/>
        <v>24.249277495147268</v>
      </c>
      <c r="H51" s="18">
        <f t="shared" si="22"/>
        <v>26.571272997493967</v>
      </c>
      <c r="I51" s="18">
        <f t="shared" si="22"/>
        <v>27.892201876327427</v>
      </c>
      <c r="J51" s="18">
        <f t="shared" si="22"/>
        <v>27.149005832048072</v>
      </c>
      <c r="K51" s="18">
        <f t="shared" si="22"/>
        <v>25.020812345616942</v>
      </c>
      <c r="L51" s="18">
        <f t="shared" si="22"/>
        <v>25.329590121028851</v>
      </c>
      <c r="M51" s="18">
        <f t="shared" si="22"/>
        <v>23.482293310729272</v>
      </c>
      <c r="N51" s="18">
        <f t="shared" si="22"/>
        <v>20.6934834211024</v>
      </c>
      <c r="O51" s="18">
        <f t="shared" ref="O51" si="25">O9/O$38*100</f>
        <v>20.133734007048194</v>
      </c>
      <c r="P51" s="18">
        <f t="shared" ref="P51:Q51" si="26">P9/P$38*100</f>
        <v>21.081603266680915</v>
      </c>
      <c r="Q51" s="18">
        <f t="shared" si="26"/>
        <v>21.417594146877267</v>
      </c>
    </row>
    <row r="52" spans="2:17" ht="24.95" customHeight="1">
      <c r="B52" s="15" t="s">
        <v>24</v>
      </c>
      <c r="C52" s="21">
        <f>SUM(C53:C55)</f>
        <v>35.800156061348595</v>
      </c>
      <c r="D52" s="21">
        <f t="shared" ref="D52:N52" si="27">SUM(D53:D55)</f>
        <v>35.900779456801814</v>
      </c>
      <c r="E52" s="21">
        <f t="shared" si="27"/>
        <v>39.080348847644935</v>
      </c>
      <c r="F52" s="21">
        <f t="shared" si="27"/>
        <v>38.392269406364534</v>
      </c>
      <c r="G52" s="21">
        <f t="shared" si="27"/>
        <v>40.019316893539781</v>
      </c>
      <c r="H52" s="21">
        <f t="shared" si="27"/>
        <v>38.767340702669102</v>
      </c>
      <c r="I52" s="21">
        <f t="shared" si="27"/>
        <v>38.451786002954172</v>
      </c>
      <c r="J52" s="21">
        <f t="shared" si="27"/>
        <v>40.575661096872324</v>
      </c>
      <c r="K52" s="21">
        <f t="shared" si="27"/>
        <v>43.893628730496879</v>
      </c>
      <c r="L52" s="21">
        <f t="shared" si="27"/>
        <v>44.242890266853934</v>
      </c>
      <c r="M52" s="21">
        <f t="shared" si="27"/>
        <v>43.123003488200617</v>
      </c>
      <c r="N52" s="21">
        <f t="shared" si="27"/>
        <v>44.797494826298923</v>
      </c>
      <c r="O52" s="21">
        <f t="shared" ref="O52" si="28">SUM(O53:O55)</f>
        <v>44.208261459363897</v>
      </c>
      <c r="P52" s="21">
        <f t="shared" ref="P52:Q52" si="29">SUM(P53:P55)</f>
        <v>43.301614824848883</v>
      </c>
      <c r="Q52" s="21">
        <f t="shared" si="29"/>
        <v>43.756892604206548</v>
      </c>
    </row>
    <row r="53" spans="2:17" ht="18" customHeight="1">
      <c r="B53" s="17" t="s">
        <v>25</v>
      </c>
      <c r="C53" s="18">
        <f>C11/C$38*100</f>
        <v>8.5216405246761813</v>
      </c>
      <c r="D53" s="18">
        <f t="shared" ref="D53:N56" si="30">D11/D$38*100</f>
        <v>8.5744622607011269</v>
      </c>
      <c r="E53" s="18">
        <f t="shared" si="30"/>
        <v>8.6235186337996215</v>
      </c>
      <c r="F53" s="18">
        <f t="shared" si="30"/>
        <v>8.8710310584728767</v>
      </c>
      <c r="G53" s="18">
        <f t="shared" si="30"/>
        <v>8.5026009749038494</v>
      </c>
      <c r="H53" s="18">
        <f t="shared" si="30"/>
        <v>7.8109910248968033</v>
      </c>
      <c r="I53" s="18">
        <f t="shared" si="30"/>
        <v>7.7769559744114671</v>
      </c>
      <c r="J53" s="18">
        <f t="shared" si="30"/>
        <v>9.472823959369796</v>
      </c>
      <c r="K53" s="18">
        <f t="shared" si="30"/>
        <v>9.559094658486222</v>
      </c>
      <c r="L53" s="18">
        <f t="shared" si="30"/>
        <v>9.2040260587004035</v>
      </c>
      <c r="M53" s="18">
        <f t="shared" si="30"/>
        <v>9.1653432594360478</v>
      </c>
      <c r="N53" s="18">
        <f t="shared" si="30"/>
        <v>9.2008461052714274</v>
      </c>
      <c r="O53" s="18">
        <f t="shared" ref="O53" si="31">O11/O$38*100</f>
        <v>8.9647941666279518</v>
      </c>
      <c r="P53" s="18">
        <f t="shared" ref="P53:Q53" si="32">P11/P$38*100</f>
        <v>8.9966452668560635</v>
      </c>
      <c r="Q53" s="18">
        <f t="shared" si="32"/>
        <v>9.0864410527775963</v>
      </c>
    </row>
    <row r="54" spans="2:17" ht="18" customHeight="1">
      <c r="B54" s="17" t="s">
        <v>26</v>
      </c>
      <c r="C54" s="18">
        <f>C12/C$38*100</f>
        <v>14.225166064337778</v>
      </c>
      <c r="D54" s="18">
        <f t="shared" si="30"/>
        <v>14.462750834928134</v>
      </c>
      <c r="E54" s="18">
        <f t="shared" si="30"/>
        <v>14.934353735054994</v>
      </c>
      <c r="F54" s="18">
        <f t="shared" si="30"/>
        <v>14.852151854235347</v>
      </c>
      <c r="G54" s="18">
        <f t="shared" si="30"/>
        <v>17.382338456777013</v>
      </c>
      <c r="H54" s="18">
        <f t="shared" si="30"/>
        <v>15.979633035647591</v>
      </c>
      <c r="I54" s="18">
        <f t="shared" si="30"/>
        <v>17.096167597079855</v>
      </c>
      <c r="J54" s="18">
        <f t="shared" si="30"/>
        <v>15.571319044417613</v>
      </c>
      <c r="K54" s="18">
        <f t="shared" si="30"/>
        <v>16.680134473003967</v>
      </c>
      <c r="L54" s="18">
        <f t="shared" si="30"/>
        <v>17.649955468975939</v>
      </c>
      <c r="M54" s="18">
        <f t="shared" si="30"/>
        <v>17.999934065277102</v>
      </c>
      <c r="N54" s="18">
        <f t="shared" si="30"/>
        <v>18.474816648931114</v>
      </c>
      <c r="O54" s="18">
        <f t="shared" ref="O54" si="33">O12/O$38*100</f>
        <v>18.41268210904002</v>
      </c>
      <c r="P54" s="18">
        <f t="shared" ref="P54:Q54" si="34">P12/P$38*100</f>
        <v>18.232553592827578</v>
      </c>
      <c r="Q54" s="18">
        <f t="shared" si="34"/>
        <v>18.985053562474022</v>
      </c>
    </row>
    <row r="55" spans="2:17" ht="18" customHeight="1">
      <c r="B55" s="17" t="s">
        <v>22</v>
      </c>
      <c r="C55" s="18">
        <f>C13/C$38*100</f>
        <v>13.053349472334636</v>
      </c>
      <c r="D55" s="18">
        <f t="shared" si="30"/>
        <v>12.863566361172554</v>
      </c>
      <c r="E55" s="18">
        <f t="shared" si="30"/>
        <v>15.522476478790315</v>
      </c>
      <c r="F55" s="18">
        <f t="shared" si="30"/>
        <v>14.669086493656311</v>
      </c>
      <c r="G55" s="18">
        <f t="shared" si="30"/>
        <v>14.134377461858918</v>
      </c>
      <c r="H55" s="18">
        <f t="shared" si="30"/>
        <v>14.976716642124705</v>
      </c>
      <c r="I55" s="18">
        <f t="shared" si="30"/>
        <v>13.578662431462851</v>
      </c>
      <c r="J55" s="18">
        <f t="shared" si="30"/>
        <v>15.531518093084909</v>
      </c>
      <c r="K55" s="18">
        <f t="shared" si="30"/>
        <v>17.654399599006688</v>
      </c>
      <c r="L55" s="18">
        <f t="shared" si="30"/>
        <v>17.388908739177587</v>
      </c>
      <c r="M55" s="18">
        <f t="shared" si="30"/>
        <v>15.957726163487463</v>
      </c>
      <c r="N55" s="18">
        <f t="shared" si="30"/>
        <v>17.121832072096382</v>
      </c>
      <c r="O55" s="18">
        <f t="shared" ref="O55" si="35">O13/O$38*100</f>
        <v>16.830785183695927</v>
      </c>
      <c r="P55" s="18">
        <f t="shared" ref="P55:Q55" si="36">P13/P$38*100</f>
        <v>16.072415965165245</v>
      </c>
      <c r="Q55" s="18">
        <f t="shared" si="36"/>
        <v>15.68539798895493</v>
      </c>
    </row>
    <row r="56" spans="2:17" ht="24.95" customHeight="1">
      <c r="B56" s="15" t="s">
        <v>27</v>
      </c>
      <c r="C56" s="16">
        <f>C14/C$38*100</f>
        <v>7.0511291239230625</v>
      </c>
      <c r="D56" s="16">
        <f t="shared" si="30"/>
        <v>6.6906320827213861</v>
      </c>
      <c r="E56" s="16">
        <f t="shared" si="30"/>
        <v>6.1451075173801843</v>
      </c>
      <c r="F56" s="16">
        <f t="shared" si="30"/>
        <v>5.3820343817482863</v>
      </c>
      <c r="G56" s="16">
        <f t="shared" si="30"/>
        <v>4.2971280136638219</v>
      </c>
      <c r="H56" s="16">
        <f t="shared" si="30"/>
        <v>4.231058520822085</v>
      </c>
      <c r="I56" s="16">
        <f t="shared" si="30"/>
        <v>4.081585821757348</v>
      </c>
      <c r="J56" s="16">
        <f t="shared" si="30"/>
        <v>4.1780212144879219</v>
      </c>
      <c r="K56" s="16">
        <f t="shared" si="30"/>
        <v>4.3850776954962072</v>
      </c>
      <c r="L56" s="16">
        <f t="shared" si="30"/>
        <v>3.8796727334074763</v>
      </c>
      <c r="M56" s="16">
        <f t="shared" si="30"/>
        <v>3.9683773689205477</v>
      </c>
      <c r="N56" s="16">
        <f t="shared" si="30"/>
        <v>4.1695331482522073</v>
      </c>
      <c r="O56" s="16">
        <f t="shared" ref="O56" si="37">O14/O$38*100</f>
        <v>4.0063702190249364</v>
      </c>
      <c r="P56" s="16">
        <f t="shared" ref="P56:Q56" si="38">P14/P$38*100</f>
        <v>4.0224852359205787</v>
      </c>
      <c r="Q56" s="16">
        <f t="shared" si="38"/>
        <v>3.9944131770639371</v>
      </c>
    </row>
    <row r="57" spans="2:17" ht="24.95" customHeight="1">
      <c r="B57" s="15" t="s">
        <v>28</v>
      </c>
      <c r="C57" s="21">
        <f>SUM(C58:C63)</f>
        <v>4.2569912986762208</v>
      </c>
      <c r="D57" s="21">
        <f t="shared" ref="D57:N57" si="39">SUM(D58:D63)</f>
        <v>3.5389927982884255</v>
      </c>
      <c r="E57" s="21">
        <f t="shared" si="39"/>
        <v>3.1808549444670682</v>
      </c>
      <c r="F57" s="21">
        <f t="shared" si="39"/>
        <v>2.8996448422841157</v>
      </c>
      <c r="G57" s="21">
        <f t="shared" si="39"/>
        <v>3.0692221786485776</v>
      </c>
      <c r="H57" s="21">
        <f t="shared" si="39"/>
        <v>3.3894570791239262</v>
      </c>
      <c r="I57" s="21">
        <f t="shared" si="39"/>
        <v>3.6594167372618784</v>
      </c>
      <c r="J57" s="21">
        <f t="shared" si="39"/>
        <v>3.4808492324209328</v>
      </c>
      <c r="K57" s="21">
        <f t="shared" si="39"/>
        <v>3.2522422707442948</v>
      </c>
      <c r="L57" s="21">
        <f t="shared" si="39"/>
        <v>3.3446464686979085</v>
      </c>
      <c r="M57" s="21">
        <f t="shared" si="39"/>
        <v>3.579510288839828</v>
      </c>
      <c r="N57" s="21">
        <f t="shared" si="39"/>
        <v>3.640151289658804</v>
      </c>
      <c r="O57" s="21">
        <f t="shared" ref="O57" si="40">SUM(O58:O63)</f>
        <v>3.45353279392025</v>
      </c>
      <c r="P57" s="21">
        <f t="shared" ref="P57:Q57" si="41">SUM(P58:P63)</f>
        <v>3.3205417386408551</v>
      </c>
      <c r="Q57" s="21">
        <f t="shared" si="41"/>
        <v>3.4768362788898193</v>
      </c>
    </row>
    <row r="58" spans="2:17" ht="18" customHeight="1">
      <c r="B58" s="17" t="s">
        <v>29</v>
      </c>
      <c r="C58" s="18">
        <f t="shared" ref="C58:N62" si="42">C16/C$38*100</f>
        <v>0.49900179852492893</v>
      </c>
      <c r="D58" s="18">
        <f t="shared" si="42"/>
        <v>0.48239732629209747</v>
      </c>
      <c r="E58" s="18">
        <f t="shared" si="42"/>
        <v>0.41335952146861349</v>
      </c>
      <c r="F58" s="18">
        <f t="shared" si="42"/>
        <v>0.40092229657408168</v>
      </c>
      <c r="G58" s="18">
        <f t="shared" si="42"/>
        <v>0.41497373398172366</v>
      </c>
      <c r="H58" s="18">
        <f t="shared" si="42"/>
        <v>0.3615706868340901</v>
      </c>
      <c r="I58" s="18">
        <f t="shared" si="42"/>
        <v>0.50807056321080957</v>
      </c>
      <c r="J58" s="18">
        <f t="shared" si="42"/>
        <v>0.51750045246629406</v>
      </c>
      <c r="K58" s="18">
        <f t="shared" si="42"/>
        <v>0.43913631769317779</v>
      </c>
      <c r="L58" s="18">
        <f t="shared" si="42"/>
        <v>0.46034285221636151</v>
      </c>
      <c r="M58" s="18">
        <f t="shared" si="42"/>
        <v>0.44091403010968833</v>
      </c>
      <c r="N58" s="18">
        <f t="shared" si="42"/>
        <v>0.41389152649770977</v>
      </c>
      <c r="O58" s="18">
        <f t="shared" ref="O58" si="43">O16/O$38*100</f>
        <v>0.41406419187335253</v>
      </c>
      <c r="P58" s="18">
        <f t="shared" ref="P58:Q58" si="44">P16/P$38*100</f>
        <v>0.4047019263956636</v>
      </c>
      <c r="Q58" s="18">
        <f t="shared" si="44"/>
        <v>0.40292248258798885</v>
      </c>
    </row>
    <row r="59" spans="2:17" ht="18" customHeight="1">
      <c r="B59" s="17" t="s">
        <v>30</v>
      </c>
      <c r="C59" s="18">
        <f t="shared" si="42"/>
        <v>0.94083805363748119</v>
      </c>
      <c r="D59" s="18">
        <f t="shared" si="42"/>
        <v>0.97612121259476348</v>
      </c>
      <c r="E59" s="18">
        <f t="shared" si="42"/>
        <v>0.85987656228784692</v>
      </c>
      <c r="F59" s="18">
        <f t="shared" si="42"/>
        <v>0.80240495180204374</v>
      </c>
      <c r="G59" s="18">
        <f t="shared" si="42"/>
        <v>0.9736729787599947</v>
      </c>
      <c r="H59" s="18">
        <f t="shared" si="42"/>
        <v>1.0490278398602104</v>
      </c>
      <c r="I59" s="18">
        <f t="shared" si="42"/>
        <v>1.0427947630589887</v>
      </c>
      <c r="J59" s="18">
        <f t="shared" si="42"/>
        <v>0.78749931408451124</v>
      </c>
      <c r="K59" s="18">
        <f t="shared" si="42"/>
        <v>0.64593615642623581</v>
      </c>
      <c r="L59" s="18">
        <f t="shared" si="42"/>
        <v>0.72089438750820201</v>
      </c>
      <c r="M59" s="18">
        <f t="shared" si="42"/>
        <v>0.66069868453279268</v>
      </c>
      <c r="N59" s="18">
        <f t="shared" si="42"/>
        <v>0.63406951278639456</v>
      </c>
      <c r="O59" s="18">
        <f t="shared" ref="O59" si="45">O17/O$38*100</f>
        <v>0.55157665885307672</v>
      </c>
      <c r="P59" s="18">
        <f t="shared" ref="P59:Q59" si="46">P17/P$38*100</f>
        <v>0.44644457683930716</v>
      </c>
      <c r="Q59" s="18">
        <f t="shared" si="46"/>
        <v>0.4663380890387977</v>
      </c>
    </row>
    <row r="60" spans="2:17" ht="18" customHeight="1">
      <c r="B60" s="17" t="s">
        <v>31</v>
      </c>
      <c r="C60" s="18">
        <f t="shared" si="42"/>
        <v>1.7388480855925086</v>
      </c>
      <c r="D60" s="18">
        <f t="shared" si="42"/>
        <v>0.96102509643017586</v>
      </c>
      <c r="E60" s="18">
        <f t="shared" si="42"/>
        <v>0.84220462489488224</v>
      </c>
      <c r="F60" s="18">
        <f t="shared" si="42"/>
        <v>0.76864021793436343</v>
      </c>
      <c r="G60" s="18">
        <f t="shared" si="42"/>
        <v>0.776727742806545</v>
      </c>
      <c r="H60" s="18">
        <f t="shared" si="42"/>
        <v>0.94871573353347494</v>
      </c>
      <c r="I60" s="18">
        <f t="shared" si="42"/>
        <v>0.93154707676015081</v>
      </c>
      <c r="J60" s="18">
        <f t="shared" si="42"/>
        <v>0.99098049451007852</v>
      </c>
      <c r="K60" s="18">
        <f t="shared" si="42"/>
        <v>0.98938848052565043</v>
      </c>
      <c r="L60" s="18">
        <f t="shared" si="42"/>
        <v>0.99924710633919611</v>
      </c>
      <c r="M60" s="18">
        <f t="shared" si="42"/>
        <v>1.0803406756427352</v>
      </c>
      <c r="N60" s="18">
        <f t="shared" si="42"/>
        <v>1.0751045306420139</v>
      </c>
      <c r="O60" s="18">
        <f t="shared" ref="O60" si="47">O18/O$38*100</f>
        <v>1.015670041024356</v>
      </c>
      <c r="P60" s="18">
        <f t="shared" ref="P60:Q60" si="48">P18/P$38*100</f>
        <v>0.94154837793651791</v>
      </c>
      <c r="Q60" s="18">
        <f t="shared" si="48"/>
        <v>0.95201535699606443</v>
      </c>
    </row>
    <row r="61" spans="2:17" ht="18" customHeight="1">
      <c r="B61" s="17" t="s">
        <v>32</v>
      </c>
      <c r="C61" s="18">
        <f t="shared" si="42"/>
        <v>1.0636587527233756</v>
      </c>
      <c r="D61" s="18">
        <f t="shared" si="42"/>
        <v>1.0718626076199251</v>
      </c>
      <c r="E61" s="18">
        <f t="shared" si="42"/>
        <v>1.023461562054474</v>
      </c>
      <c r="F61" s="18">
        <f t="shared" si="42"/>
        <v>0.89601635736295226</v>
      </c>
      <c r="G61" s="18">
        <f t="shared" si="42"/>
        <v>0.87807088766863262</v>
      </c>
      <c r="H61" s="18">
        <f t="shared" si="42"/>
        <v>0.99315987411654238</v>
      </c>
      <c r="I61" s="18">
        <f t="shared" si="42"/>
        <v>1.1450059998755675</v>
      </c>
      <c r="J61" s="18">
        <f t="shared" si="42"/>
        <v>1.1506866787203536</v>
      </c>
      <c r="K61" s="18">
        <f t="shared" si="42"/>
        <v>1.1461391029892429</v>
      </c>
      <c r="L61" s="18">
        <f t="shared" si="42"/>
        <v>1.132966750051227</v>
      </c>
      <c r="M61" s="18">
        <f t="shared" si="42"/>
        <v>1.2392775676539896</v>
      </c>
      <c r="N61" s="18">
        <f t="shared" si="42"/>
        <v>1.3043254212088253</v>
      </c>
      <c r="O61" s="18">
        <f t="shared" ref="O61" si="49">O19/O$38*100</f>
        <v>1.3218115207683991</v>
      </c>
      <c r="P61" s="18">
        <f t="shared" ref="P61:Q61" si="50">P19/P$38*100</f>
        <v>1.3948406635003701</v>
      </c>
      <c r="Q61" s="18">
        <f t="shared" si="50"/>
        <v>1.46896720350046</v>
      </c>
    </row>
    <row r="62" spans="2:17" ht="18" customHeight="1">
      <c r="B62" s="17" t="s">
        <v>33</v>
      </c>
      <c r="C62" s="18">
        <f t="shared" si="42"/>
        <v>1.4644608197926609E-2</v>
      </c>
      <c r="D62" s="18">
        <f t="shared" si="42"/>
        <v>4.7586555351464048E-2</v>
      </c>
      <c r="E62" s="18">
        <f t="shared" si="42"/>
        <v>4.1952673761251558E-2</v>
      </c>
      <c r="F62" s="18">
        <f t="shared" si="42"/>
        <v>3.1661018610674566E-2</v>
      </c>
      <c r="G62" s="18">
        <f t="shared" si="42"/>
        <v>2.5776835431681484E-2</v>
      </c>
      <c r="H62" s="18">
        <f t="shared" si="42"/>
        <v>3.698294477960825E-2</v>
      </c>
      <c r="I62" s="18">
        <f t="shared" si="42"/>
        <v>3.1998334356361707E-2</v>
      </c>
      <c r="J62" s="18">
        <f t="shared" si="42"/>
        <v>3.4182292639695376E-2</v>
      </c>
      <c r="K62" s="18">
        <f t="shared" si="42"/>
        <v>3.1642213109987716E-2</v>
      </c>
      <c r="L62" s="18">
        <f t="shared" si="42"/>
        <v>3.1195372582921599E-2</v>
      </c>
      <c r="M62" s="18">
        <f t="shared" si="42"/>
        <v>3.0048056382789203E-2</v>
      </c>
      <c r="N62" s="18">
        <f t="shared" si="42"/>
        <v>1.9675741748267483E-2</v>
      </c>
      <c r="O62" s="18">
        <f t="shared" ref="O62" si="51">O20/O$38*100</f>
        <v>1.5877843002958848E-2</v>
      </c>
      <c r="P62" s="18">
        <f t="shared" ref="P62:Q62" si="52">P20/P$38*100</f>
        <v>2.1907088186302798E-2</v>
      </c>
      <c r="Q62" s="18">
        <f t="shared" si="52"/>
        <v>1.8656230493013855E-2</v>
      </c>
    </row>
    <row r="63" spans="2:17" ht="18" customHeight="1">
      <c r="B63" s="17" t="s">
        <v>34</v>
      </c>
      <c r="C63" s="20"/>
      <c r="D63" s="20"/>
      <c r="E63" s="20"/>
      <c r="F63" s="20"/>
      <c r="G63" s="20"/>
      <c r="H63" s="20"/>
      <c r="I63" s="20"/>
      <c r="J63" s="20"/>
      <c r="K63" s="20"/>
      <c r="L63" s="20"/>
      <c r="M63" s="18">
        <f>M21/M$38*100</f>
        <v>0.12823127451783292</v>
      </c>
      <c r="N63" s="18">
        <f>N21/N$38*100</f>
        <v>0.19308455677559266</v>
      </c>
      <c r="O63" s="18">
        <f>O21/O$38*100</f>
        <v>0.134532538398107</v>
      </c>
      <c r="P63" s="18">
        <f>P21/P$38*100</f>
        <v>0.11109910578269357</v>
      </c>
      <c r="Q63" s="18">
        <f>Q21/Q$38*100</f>
        <v>0.16793691627349433</v>
      </c>
    </row>
    <row r="64" spans="2:17" ht="24.95" customHeight="1">
      <c r="B64" s="15" t="s">
        <v>35</v>
      </c>
      <c r="C64" s="21">
        <f>SUM(C65:C69)</f>
        <v>0.68369916230019756</v>
      </c>
      <c r="D64" s="21">
        <f>SUM(D65:D69)</f>
        <v>0.71227864926375695</v>
      </c>
      <c r="E64" s="21">
        <f t="shared" ref="E64:J64" si="53">SUM(E65:E69)</f>
        <v>0.63231561794364388</v>
      </c>
      <c r="F64" s="21">
        <f t="shared" si="53"/>
        <v>0.55849125389077769</v>
      </c>
      <c r="G64" s="21">
        <f t="shared" si="53"/>
        <v>1.8904389978163738</v>
      </c>
      <c r="H64" s="21">
        <f t="shared" si="53"/>
        <v>2.3271576980561255</v>
      </c>
      <c r="I64" s="21">
        <f t="shared" si="53"/>
        <v>2.025486713846639</v>
      </c>
      <c r="J64" s="21">
        <f t="shared" si="53"/>
        <v>1.6039272047289839</v>
      </c>
      <c r="K64" s="21">
        <f t="shared" ref="K64:P64" si="54">SUM(K65:K69)</f>
        <v>1.5279743252790943</v>
      </c>
      <c r="L64" s="21">
        <f t="shared" si="54"/>
        <v>1.4524877852705715</v>
      </c>
      <c r="M64" s="21">
        <f t="shared" si="54"/>
        <v>2.7050437652603048</v>
      </c>
      <c r="N64" s="21">
        <f t="shared" si="54"/>
        <v>2.6418090899511979</v>
      </c>
      <c r="O64" s="21">
        <f t="shared" si="54"/>
        <v>2.5313265171156196</v>
      </c>
      <c r="P64" s="21">
        <f t="shared" si="54"/>
        <v>2.4786100793452239</v>
      </c>
      <c r="Q64" s="21">
        <f t="shared" ref="Q64" si="55">SUM(Q65:Q69)</f>
        <v>1.1494948194160388</v>
      </c>
    </row>
    <row r="65" spans="2:17" ht="18" customHeight="1">
      <c r="B65" s="17" t="s">
        <v>36</v>
      </c>
      <c r="C65" s="18">
        <f t="shared" ref="C65:N68" si="56">C23/C$38*100</f>
        <v>0.68164340790394529</v>
      </c>
      <c r="D65" s="18">
        <f t="shared" si="56"/>
        <v>0.67970505830628392</v>
      </c>
      <c r="E65" s="18">
        <f t="shared" si="56"/>
        <v>0.60734782453399616</v>
      </c>
      <c r="F65" s="18">
        <f t="shared" si="56"/>
        <v>0.53429015415833492</v>
      </c>
      <c r="G65" s="18">
        <f t="shared" si="56"/>
        <v>0.3395792250848001</v>
      </c>
      <c r="H65" s="18">
        <f t="shared" si="56"/>
        <v>0.50650256314295428</v>
      </c>
      <c r="I65" s="18">
        <f t="shared" si="56"/>
        <v>0.41528584408133795</v>
      </c>
      <c r="J65" s="18">
        <f t="shared" si="56"/>
        <v>0.45879826664936563</v>
      </c>
      <c r="K65" s="18">
        <f t="shared" si="56"/>
        <v>0.44044056360866107</v>
      </c>
      <c r="L65" s="18">
        <f t="shared" si="56"/>
        <v>0.56646595782915288</v>
      </c>
      <c r="M65" s="18">
        <f t="shared" si="56"/>
        <v>0.43807681373964164</v>
      </c>
      <c r="N65" s="18">
        <f t="shared" si="56"/>
        <v>0.46583453980038958</v>
      </c>
      <c r="O65" s="18">
        <f t="shared" ref="O65" si="57">O23/O$38*100</f>
        <v>0.46462477341919067</v>
      </c>
      <c r="P65" s="18">
        <f t="shared" ref="P65:Q65" si="58">P23/P$38*100</f>
        <v>0.44518714167632878</v>
      </c>
      <c r="Q65" s="18">
        <f t="shared" si="58"/>
        <v>0.53405160365018056</v>
      </c>
    </row>
    <row r="66" spans="2:17" ht="18" customHeight="1">
      <c r="B66" s="17" t="s">
        <v>37</v>
      </c>
      <c r="C66" s="18">
        <f t="shared" si="56"/>
        <v>2.0557543962522844E-3</v>
      </c>
      <c r="D66" s="18">
        <f t="shared" si="56"/>
        <v>3.2573590957473052E-2</v>
      </c>
      <c r="E66" s="18">
        <f t="shared" si="56"/>
        <v>2.4967793409647727E-2</v>
      </c>
      <c r="F66" s="18">
        <f t="shared" si="56"/>
        <v>2.4201099732442756E-2</v>
      </c>
      <c r="G66" s="18">
        <f t="shared" si="56"/>
        <v>2.6280094513214329E-2</v>
      </c>
      <c r="H66" s="18">
        <f t="shared" si="56"/>
        <v>2.9316308973172427E-2</v>
      </c>
      <c r="I66" s="18">
        <f t="shared" si="56"/>
        <v>2.7054002034686594E-2</v>
      </c>
      <c r="J66" s="18">
        <f t="shared" si="56"/>
        <v>2.5418667413204438E-2</v>
      </c>
      <c r="K66" s="18">
        <f t="shared" si="56"/>
        <v>2.4886850126138713E-2</v>
      </c>
      <c r="L66" s="18">
        <f t="shared" si="56"/>
        <v>2.549236571090047E-2</v>
      </c>
      <c r="M66" s="18">
        <f t="shared" si="56"/>
        <v>2.3486875702159783E-2</v>
      </c>
      <c r="N66" s="18">
        <f t="shared" si="56"/>
        <v>2.641725813563113E-2</v>
      </c>
      <c r="O66" s="18">
        <f t="shared" ref="O66" si="59">O24/O$38*100</f>
        <v>3.2730387272865286E-2</v>
      </c>
      <c r="P66" s="18">
        <f t="shared" ref="P66:Q66" si="60">P24/P$38*100</f>
        <v>3.5349409286529479E-2</v>
      </c>
      <c r="Q66" s="18">
        <f t="shared" si="60"/>
        <v>2.6355551070448176E-2</v>
      </c>
    </row>
    <row r="67" spans="2:17" ht="18" customHeight="1">
      <c r="B67" s="17" t="s">
        <v>38</v>
      </c>
      <c r="C67" s="20"/>
      <c r="D67" s="20"/>
      <c r="E67" s="20"/>
      <c r="F67" s="20"/>
      <c r="G67" s="18">
        <f t="shared" si="56"/>
        <v>1.5245796782183594</v>
      </c>
      <c r="H67" s="18">
        <f t="shared" si="56"/>
        <v>1.5562361868154078</v>
      </c>
      <c r="I67" s="18">
        <f t="shared" si="56"/>
        <v>1.3920559293250436</v>
      </c>
      <c r="J67" s="18">
        <f t="shared" si="56"/>
        <v>0.91019817113824431</v>
      </c>
      <c r="K67" s="18">
        <f t="shared" si="56"/>
        <v>0.81995005356364603</v>
      </c>
      <c r="L67" s="18">
        <f t="shared" si="56"/>
        <v>0.62181450663204496</v>
      </c>
      <c r="M67" s="18">
        <f t="shared" si="56"/>
        <v>0</v>
      </c>
      <c r="N67" s="18">
        <f t="shared" si="56"/>
        <v>0</v>
      </c>
      <c r="O67" s="18">
        <f t="shared" ref="O67" si="61">O25/O$38*100</f>
        <v>0</v>
      </c>
      <c r="P67" s="18">
        <f t="shared" ref="P67:Q67" si="62">P25/P$38*100</f>
        <v>0</v>
      </c>
      <c r="Q67" s="18">
        <f t="shared" si="62"/>
        <v>0</v>
      </c>
    </row>
    <row r="68" spans="2:17" ht="18" customHeight="1">
      <c r="B68" s="17" t="s">
        <v>39</v>
      </c>
      <c r="C68" s="20"/>
      <c r="D68" s="20"/>
      <c r="E68" s="20"/>
      <c r="F68" s="20"/>
      <c r="G68" s="20"/>
      <c r="H68" s="18">
        <f t="shared" si="56"/>
        <v>0.23510263912459076</v>
      </c>
      <c r="I68" s="18">
        <f t="shared" si="56"/>
        <v>0.19109093840557065</v>
      </c>
      <c r="J68" s="18">
        <f t="shared" si="56"/>
        <v>0.20951209952816963</v>
      </c>
      <c r="K68" s="18">
        <f t="shared" si="56"/>
        <v>0.24269685798064836</v>
      </c>
      <c r="L68" s="18">
        <f t="shared" si="56"/>
        <v>0.23871495509847335</v>
      </c>
      <c r="M68" s="18">
        <f t="shared" si="56"/>
        <v>0.24446875961131762</v>
      </c>
      <c r="N68" s="18">
        <f t="shared" si="56"/>
        <v>0.29352354411050524</v>
      </c>
      <c r="O68" s="18">
        <f t="shared" ref="O68" si="63">O26/O$38*100</f>
        <v>0.26977553185485686</v>
      </c>
      <c r="P68" s="18">
        <f t="shared" ref="P68:Q68" si="64">P26/P$38*100</f>
        <v>0.2790366944479607</v>
      </c>
      <c r="Q68" s="18">
        <f t="shared" si="64"/>
        <v>0.27507703261946631</v>
      </c>
    </row>
    <row r="69" spans="2:17" ht="18" customHeight="1">
      <c r="B69" s="17" t="s">
        <v>40</v>
      </c>
      <c r="C69" s="20"/>
      <c r="D69" s="20"/>
      <c r="E69" s="20"/>
      <c r="F69" s="20"/>
      <c r="G69" s="20"/>
      <c r="H69" s="18"/>
      <c r="I69" s="18"/>
      <c r="J69" s="18"/>
      <c r="K69" s="18"/>
      <c r="L69" s="18">
        <f t="shared" ref="L69:Q69" si="65">L70+L71</f>
        <v>0</v>
      </c>
      <c r="M69" s="18">
        <f t="shared" si="65"/>
        <v>1.9990113162071856</v>
      </c>
      <c r="N69" s="18">
        <f t="shared" si="65"/>
        <v>1.856033747904672</v>
      </c>
      <c r="O69" s="18">
        <f t="shared" si="65"/>
        <v>1.7641958245687068</v>
      </c>
      <c r="P69" s="18">
        <f t="shared" si="65"/>
        <v>1.7190368339344051</v>
      </c>
      <c r="Q69" s="18">
        <f t="shared" si="65"/>
        <v>0.31401063207594371</v>
      </c>
    </row>
    <row r="70" spans="2:17" ht="18" customHeight="1">
      <c r="B70" s="24" t="s">
        <v>41</v>
      </c>
      <c r="C70" s="20"/>
      <c r="D70" s="20"/>
      <c r="E70" s="20"/>
      <c r="F70" s="20"/>
      <c r="G70" s="20"/>
      <c r="H70" s="20"/>
      <c r="I70" s="20"/>
      <c r="J70" s="20"/>
      <c r="K70" s="20"/>
      <c r="L70" s="18">
        <f t="shared" ref="L70:N71" si="66">L28/L$38*100</f>
        <v>0</v>
      </c>
      <c r="M70" s="18">
        <f t="shared" si="66"/>
        <v>1.2820554754091413</v>
      </c>
      <c r="N70" s="18">
        <f t="shared" si="66"/>
        <v>1.1807997921037923</v>
      </c>
      <c r="O70" s="18">
        <f t="shared" ref="O70" si="67">O28/O$38*100</f>
        <v>1.1007489290123085</v>
      </c>
      <c r="P70" s="18">
        <f t="shared" ref="P70:Q70" si="68">P28/P$38*100</f>
        <v>1.0679320345076828</v>
      </c>
      <c r="Q70" s="18">
        <f t="shared" si="68"/>
        <v>0.19587272922302382</v>
      </c>
    </row>
    <row r="71" spans="2:17" ht="18" customHeight="1">
      <c r="B71" s="24" t="s">
        <v>42</v>
      </c>
      <c r="C71" s="20"/>
      <c r="D71" s="20"/>
      <c r="E71" s="20"/>
      <c r="F71" s="20"/>
      <c r="G71" s="20"/>
      <c r="H71" s="20"/>
      <c r="I71" s="20"/>
      <c r="J71" s="20"/>
      <c r="K71" s="20"/>
      <c r="L71" s="18">
        <f t="shared" si="66"/>
        <v>0</v>
      </c>
      <c r="M71" s="18">
        <f t="shared" si="66"/>
        <v>0.7169558407980442</v>
      </c>
      <c r="N71" s="18">
        <f t="shared" si="66"/>
        <v>0.67523395580087964</v>
      </c>
      <c r="O71" s="18">
        <f t="shared" ref="O71" si="69">O29/O$38*100</f>
        <v>0.66344689555639835</v>
      </c>
      <c r="P71" s="18">
        <f t="shared" ref="P71:Q71" si="70">P29/P$38*100</f>
        <v>0.65110479942672228</v>
      </c>
      <c r="Q71" s="18">
        <f t="shared" si="70"/>
        <v>0.11813790285291992</v>
      </c>
    </row>
    <row r="72" spans="2:17" ht="24.95" customHeight="1">
      <c r="B72" s="25" t="s">
        <v>43</v>
      </c>
      <c r="C72" s="16">
        <f t="shared" ref="C72:K72" si="71">SUM(C73:C79)</f>
        <v>2.9464832060689865</v>
      </c>
      <c r="D72" s="16">
        <f t="shared" si="71"/>
        <v>2.8492280266628152</v>
      </c>
      <c r="E72" s="16">
        <f t="shared" si="71"/>
        <v>2.5819578909193561</v>
      </c>
      <c r="F72" s="16">
        <f t="shared" si="71"/>
        <v>3.3483780208503586</v>
      </c>
      <c r="G72" s="16">
        <f t="shared" si="71"/>
        <v>3.7506567478365769</v>
      </c>
      <c r="H72" s="16">
        <f t="shared" si="71"/>
        <v>3.4944235586284664</v>
      </c>
      <c r="I72" s="16">
        <f t="shared" si="71"/>
        <v>3.0496626410854519</v>
      </c>
      <c r="J72" s="16">
        <f t="shared" si="71"/>
        <v>2.9660638560801185</v>
      </c>
      <c r="K72" s="16">
        <f t="shared" si="71"/>
        <v>3.0621945287743833</v>
      </c>
      <c r="L72" s="16">
        <f t="shared" ref="L72:Q72" si="72">SUM(L73:L79)</f>
        <v>2.7942515470413385</v>
      </c>
      <c r="M72" s="16">
        <f t="shared" si="72"/>
        <v>2.951106570757283</v>
      </c>
      <c r="N72" s="16">
        <f t="shared" si="72"/>
        <v>4.3465271487004991</v>
      </c>
      <c r="O72" s="16">
        <f t="shared" si="72"/>
        <v>6.6280518672154694</v>
      </c>
      <c r="P72" s="16">
        <f t="shared" si="72"/>
        <v>6.4784956059956036</v>
      </c>
      <c r="Q72" s="16">
        <f t="shared" si="72"/>
        <v>6.6874675200363445</v>
      </c>
    </row>
    <row r="73" spans="2:17" ht="18" customHeight="1">
      <c r="B73" s="17" t="s">
        <v>44</v>
      </c>
      <c r="C73" s="18">
        <f t="shared" ref="C73:N76" si="73">C31/C$38*100</f>
        <v>2.9225824953074744</v>
      </c>
      <c r="D73" s="18">
        <f t="shared" si="73"/>
        <v>2.6142943928796991</v>
      </c>
      <c r="E73" s="18">
        <f t="shared" si="73"/>
        <v>2.334226410298053</v>
      </c>
      <c r="F73" s="18">
        <f t="shared" si="73"/>
        <v>2.0463703315121973</v>
      </c>
      <c r="G73" s="18">
        <f t="shared" si="73"/>
        <v>2.3182167434200855</v>
      </c>
      <c r="H73" s="18">
        <f t="shared" si="73"/>
        <v>2.1711889788916849</v>
      </c>
      <c r="I73" s="18">
        <f t="shared" si="73"/>
        <v>1.8830418426403306</v>
      </c>
      <c r="J73" s="18">
        <f t="shared" si="73"/>
        <v>1.8272147871873103</v>
      </c>
      <c r="K73" s="18">
        <f t="shared" si="73"/>
        <v>1.696370890452858</v>
      </c>
      <c r="L73" s="18">
        <f t="shared" si="73"/>
        <v>1.7302191609044701</v>
      </c>
      <c r="M73" s="18">
        <f t="shared" si="73"/>
        <v>1.8089860971564371</v>
      </c>
      <c r="N73" s="18">
        <f t="shared" si="73"/>
        <v>1.87081422783907</v>
      </c>
      <c r="O73" s="18">
        <f t="shared" ref="O73" si="74">O31/O$38*100</f>
        <v>1.8092297864538143</v>
      </c>
      <c r="P73" s="18">
        <f t="shared" ref="P73:Q73" si="75">P31/P$38*100</f>
        <v>1.783018705123196</v>
      </c>
      <c r="Q73" s="18">
        <f t="shared" si="75"/>
        <v>1.7893035033021425</v>
      </c>
    </row>
    <row r="74" spans="2:17" ht="18" customHeight="1">
      <c r="B74" s="17" t="s">
        <v>45</v>
      </c>
      <c r="C74" s="18">
        <f t="shared" si="73"/>
        <v>2.3900710761512071E-2</v>
      </c>
      <c r="D74" s="18">
        <f t="shared" si="73"/>
        <v>2.7816762574607745E-2</v>
      </c>
      <c r="E74" s="18">
        <f t="shared" si="73"/>
        <v>2.5966874428163134E-2</v>
      </c>
      <c r="F74" s="18">
        <f t="shared" si="73"/>
        <v>2.3313588288421692E-2</v>
      </c>
      <c r="G74" s="18">
        <f t="shared" si="73"/>
        <v>2.1969492472369859E-2</v>
      </c>
      <c r="H74" s="18">
        <f t="shared" si="73"/>
        <v>1.1556909466210706E-2</v>
      </c>
      <c r="I74" s="18">
        <f t="shared" si="73"/>
        <v>1.4632951512616661E-2</v>
      </c>
      <c r="J74" s="18">
        <f t="shared" si="73"/>
        <v>1.8029831368266552E-2</v>
      </c>
      <c r="K74" s="18">
        <f t="shared" si="73"/>
        <v>0</v>
      </c>
      <c r="L74" s="18">
        <f t="shared" si="73"/>
        <v>0</v>
      </c>
      <c r="M74" s="18">
        <f t="shared" si="73"/>
        <v>1.7924091424062344E-2</v>
      </c>
      <c r="N74" s="18">
        <f t="shared" si="73"/>
        <v>1.6145522962796175E-2</v>
      </c>
      <c r="O74" s="18">
        <f t="shared" ref="O74" si="76">O32/O$38*100</f>
        <v>1.7801361734563849E-2</v>
      </c>
      <c r="P74" s="18">
        <f t="shared" ref="P74:Q74" si="77">P32/P$38*100</f>
        <v>2.1746820931577801E-2</v>
      </c>
      <c r="Q74" s="18">
        <f t="shared" si="77"/>
        <v>1.7145851646507369E-2</v>
      </c>
    </row>
    <row r="75" spans="2:17" ht="18" customHeight="1">
      <c r="B75" s="17" t="s">
        <v>46</v>
      </c>
      <c r="C75" s="20"/>
      <c r="D75" s="18">
        <f t="shared" si="73"/>
        <v>0.20711687120850819</v>
      </c>
      <c r="E75" s="18">
        <f t="shared" si="73"/>
        <v>0.22176460619314006</v>
      </c>
      <c r="F75" s="18">
        <f t="shared" si="73"/>
        <v>0.25550745116574997</v>
      </c>
      <c r="G75" s="18">
        <f t="shared" si="73"/>
        <v>0.25100995664065323</v>
      </c>
      <c r="H75" s="18">
        <f t="shared" si="73"/>
        <v>0.22413157400792352</v>
      </c>
      <c r="I75" s="18">
        <f t="shared" si="73"/>
        <v>0.20864495504842887</v>
      </c>
      <c r="J75" s="18">
        <f t="shared" si="73"/>
        <v>0.20581754706455388</v>
      </c>
      <c r="K75" s="18">
        <f t="shared" si="73"/>
        <v>0.20336648692011106</v>
      </c>
      <c r="L75" s="18">
        <f t="shared" si="73"/>
        <v>0.19563151621544334</v>
      </c>
      <c r="M75" s="18">
        <f t="shared" si="73"/>
        <v>0.21836887805235816</v>
      </c>
      <c r="N75" s="18">
        <f t="shared" si="73"/>
        <v>0.21993194206253291</v>
      </c>
      <c r="O75" s="18">
        <f t="shared" ref="O75" si="78">O33/O$38*100</f>
        <v>0.21973484339766125</v>
      </c>
      <c r="P75" s="18">
        <f t="shared" ref="P75:Q75" si="79">P33/P$38*100</f>
        <v>0.21957247553187992</v>
      </c>
      <c r="Q75" s="18">
        <f t="shared" si="79"/>
        <v>0.23067745347553717</v>
      </c>
    </row>
    <row r="76" spans="2:17" ht="18" customHeight="1">
      <c r="B76" s="17" t="s">
        <v>47</v>
      </c>
      <c r="C76" s="20"/>
      <c r="D76" s="20"/>
      <c r="E76" s="20"/>
      <c r="F76" s="18">
        <f t="shared" si="73"/>
        <v>1.0231866498839897</v>
      </c>
      <c r="G76" s="18">
        <f t="shared" si="73"/>
        <v>1.1594605553034683</v>
      </c>
      <c r="H76" s="18">
        <f t="shared" si="73"/>
        <v>1.0875460962626471</v>
      </c>
      <c r="I76" s="18">
        <f t="shared" si="73"/>
        <v>0.94334289188407605</v>
      </c>
      <c r="J76" s="18">
        <f t="shared" si="73"/>
        <v>0.91500169045998758</v>
      </c>
      <c r="K76" s="18">
        <f t="shared" si="73"/>
        <v>0.85075348841956566</v>
      </c>
      <c r="L76" s="18">
        <f t="shared" si="73"/>
        <v>0.86840086992142496</v>
      </c>
      <c r="M76" s="18">
        <f t="shared" si="73"/>
        <v>0.90582750412442536</v>
      </c>
      <c r="N76" s="18">
        <f t="shared" si="73"/>
        <v>0.94018616551865375</v>
      </c>
      <c r="O76" s="18">
        <f t="shared" ref="O76" si="80">O34/O$38*100</f>
        <v>0.90971925814600108</v>
      </c>
      <c r="P76" s="18">
        <f t="shared" ref="P76:Q76" si="81">P34/P$38*100</f>
        <v>0.89521589132634249</v>
      </c>
      <c r="Q76" s="18">
        <f t="shared" si="81"/>
        <v>0.90005628010464944</v>
      </c>
    </row>
    <row r="77" spans="2:17" ht="18" customHeight="1">
      <c r="B77" s="17" t="s">
        <v>48</v>
      </c>
      <c r="C77" s="20"/>
      <c r="D77" s="20"/>
      <c r="E77" s="20"/>
      <c r="F77" s="20"/>
      <c r="G77" s="20"/>
      <c r="H77" s="20"/>
      <c r="I77" s="20"/>
      <c r="J77" s="20"/>
      <c r="K77" s="18">
        <f>K35/K$38*100</f>
        <v>0.31170366298184871</v>
      </c>
      <c r="L77" s="20"/>
      <c r="M77" s="19"/>
      <c r="N77" s="18"/>
      <c r="O77" s="18"/>
      <c r="P77" s="18"/>
      <c r="Q77" s="18"/>
    </row>
    <row r="78" spans="2:17" ht="18" customHeight="1">
      <c r="B78" s="17" t="s">
        <v>49</v>
      </c>
      <c r="C78" s="20"/>
      <c r="D78" s="20"/>
      <c r="E78" s="20"/>
      <c r="F78" s="20"/>
      <c r="G78" s="20"/>
      <c r="H78" s="20"/>
      <c r="I78" s="20"/>
      <c r="J78" s="20"/>
      <c r="K78" s="18"/>
      <c r="L78" s="20"/>
      <c r="M78" s="19"/>
      <c r="N78" s="18">
        <f t="shared" ref="N78:P79" si="82">N36/N$38*100</f>
        <v>0.99694512570946348</v>
      </c>
      <c r="O78" s="18">
        <f t="shared" ref="O78" si="83">O36/O$38*100</f>
        <v>0.9754494536268834</v>
      </c>
      <c r="P78" s="18">
        <f t="shared" si="82"/>
        <v>0.90386357582704979</v>
      </c>
      <c r="Q78" s="18">
        <f t="shared" ref="Q78" si="84">Q36/Q$38*100</f>
        <v>1.0258539006269982</v>
      </c>
    </row>
    <row r="79" spans="2:17" ht="18" customHeight="1">
      <c r="B79" s="29" t="s">
        <v>50</v>
      </c>
      <c r="C79" s="20"/>
      <c r="D79" s="20"/>
      <c r="E79" s="20"/>
      <c r="F79" s="20"/>
      <c r="G79" s="20"/>
      <c r="H79" s="20"/>
      <c r="I79" s="20"/>
      <c r="J79" s="20"/>
      <c r="K79" s="18"/>
      <c r="L79" s="20"/>
      <c r="M79" s="19"/>
      <c r="N79" s="30">
        <f t="shared" si="82"/>
        <v>0.30250416460798318</v>
      </c>
      <c r="O79" s="30">
        <f t="shared" ref="O79" si="85">O37/O$38*100</f>
        <v>2.6961171638565458</v>
      </c>
      <c r="P79" s="30">
        <f t="shared" si="82"/>
        <v>2.6550781372555576</v>
      </c>
      <c r="Q79" s="30">
        <f t="shared" ref="Q79" si="86">Q37/Q$38*100</f>
        <v>2.7244305308805106</v>
      </c>
    </row>
    <row r="80" spans="2:17" ht="18.75" customHeight="1">
      <c r="B80" s="28" t="s">
        <v>52</v>
      </c>
      <c r="C80" s="28"/>
      <c r="D80" s="28"/>
      <c r="E80" s="28"/>
      <c r="F80" s="28"/>
      <c r="G80" s="28"/>
      <c r="H80" s="28"/>
      <c r="I80" s="28"/>
      <c r="J80" s="28"/>
      <c r="K80" s="28"/>
      <c r="L80" s="28"/>
      <c r="M80" s="28"/>
      <c r="N80" s="31"/>
      <c r="O80" s="31"/>
      <c r="P80" s="31"/>
      <c r="Q80" s="31"/>
    </row>
    <row r="81" spans="2:17">
      <c r="C81" s="9"/>
      <c r="D81" s="9"/>
      <c r="E81" s="9"/>
      <c r="F81" s="9"/>
      <c r="G81" s="9"/>
      <c r="H81" s="9"/>
      <c r="I81" s="9"/>
      <c r="J81" s="9"/>
      <c r="K81" s="9"/>
      <c r="L81" s="9"/>
      <c r="M81" s="9"/>
      <c r="N81" s="9"/>
      <c r="O81" s="9"/>
      <c r="P81" s="9"/>
      <c r="Q81" s="9"/>
    </row>
    <row r="82" spans="2:17">
      <c r="C82" s="9"/>
      <c r="D82" s="9"/>
      <c r="E82" s="9"/>
      <c r="F82" s="9"/>
      <c r="G82" s="9"/>
      <c r="H82" s="9"/>
      <c r="I82" s="9"/>
      <c r="J82" s="9"/>
      <c r="K82" s="9"/>
      <c r="L82" s="9"/>
      <c r="M82" s="9"/>
      <c r="N82" s="9"/>
      <c r="O82" s="9"/>
      <c r="P82" s="9"/>
      <c r="Q82" s="9"/>
    </row>
    <row r="86" spans="2:17">
      <c r="B86" t="s">
        <v>18</v>
      </c>
    </row>
    <row r="87" spans="2:17">
      <c r="B87" t="s">
        <v>819</v>
      </c>
    </row>
    <row r="88" spans="2:17">
      <c r="B88" t="s">
        <v>55</v>
      </c>
    </row>
    <row r="89" spans="2:17" ht="6" customHeight="1"/>
    <row r="90" spans="2:17" ht="30" customHeight="1">
      <c r="B90" s="12" t="s">
        <v>20</v>
      </c>
      <c r="C90" s="13">
        <v>2005</v>
      </c>
      <c r="D90" s="13">
        <v>2006</v>
      </c>
      <c r="E90" s="13">
        <v>2007</v>
      </c>
      <c r="F90" s="13">
        <v>2008</v>
      </c>
      <c r="G90" s="13">
        <v>2009</v>
      </c>
      <c r="H90" s="13">
        <v>2010</v>
      </c>
      <c r="I90" s="13">
        <v>2011</v>
      </c>
      <c r="J90" s="13">
        <v>2012</v>
      </c>
      <c r="K90" s="13">
        <v>2013</v>
      </c>
      <c r="L90" s="13">
        <v>2014</v>
      </c>
      <c r="M90" s="14">
        <v>2015</v>
      </c>
      <c r="N90" s="13">
        <v>2016</v>
      </c>
      <c r="O90" s="13">
        <v>2017</v>
      </c>
      <c r="P90" s="13">
        <v>2018</v>
      </c>
      <c r="Q90" s="13">
        <v>2019</v>
      </c>
    </row>
    <row r="91" spans="2:17" ht="30" customHeight="1">
      <c r="B91" s="15" t="s">
        <v>54</v>
      </c>
      <c r="C91" s="16">
        <f>+C92+C95+C99+C100+C107+C115</f>
        <v>8.0242781222343176</v>
      </c>
      <c r="D91" s="16">
        <f t="shared" ref="D91:N91" si="87">+D92+D95+D99+D100+D107+D115</f>
        <v>8.5861660349539903</v>
      </c>
      <c r="E91" s="16">
        <f t="shared" si="87"/>
        <v>9.079715348391554</v>
      </c>
      <c r="F91" s="16">
        <f t="shared" si="87"/>
        <v>9.3744690739755452</v>
      </c>
      <c r="G91" s="16">
        <f t="shared" si="87"/>
        <v>8.7110718631012372</v>
      </c>
      <c r="H91" s="16">
        <f t="shared" si="87"/>
        <v>8.8109029384342534</v>
      </c>
      <c r="I91" s="16">
        <f t="shared" si="87"/>
        <v>9.267665027721657</v>
      </c>
      <c r="J91" s="16">
        <f t="shared" si="87"/>
        <v>9.3733309744858246</v>
      </c>
      <c r="K91" s="16">
        <f t="shared" si="87"/>
        <v>9.8593106801613004</v>
      </c>
      <c r="L91" s="16">
        <f t="shared" si="87"/>
        <v>9.7139903583646063</v>
      </c>
      <c r="M91" s="16">
        <f t="shared" si="87"/>
        <v>9.5596471467140898</v>
      </c>
      <c r="N91" s="16">
        <f t="shared" si="87"/>
        <v>9.6158672415170745</v>
      </c>
      <c r="O91" s="16">
        <f t="shared" ref="O91" si="88">+O92+O95+O99+O100+O107+O115</f>
        <v>9.8631396847517046</v>
      </c>
      <c r="P91" s="16">
        <f t="shared" ref="P91:Q91" si="89">+P92+P95+P99+P100+P107+P115</f>
        <v>10.045343445964875</v>
      </c>
      <c r="Q91" s="16">
        <f t="shared" si="89"/>
        <v>10.040463751429519</v>
      </c>
    </row>
    <row r="92" spans="2:17" ht="24.95" customHeight="1">
      <c r="B92" s="15" t="s">
        <v>21</v>
      </c>
      <c r="C92" s="16">
        <f>SUM(C93:C94)</f>
        <v>3.952883068988978</v>
      </c>
      <c r="D92" s="16">
        <f t="shared" ref="D92:N92" si="90">SUM(D93:D94)</f>
        <v>4.3195360493728394</v>
      </c>
      <c r="E92" s="16">
        <f t="shared" si="90"/>
        <v>4.3927131857098773</v>
      </c>
      <c r="F92" s="16">
        <f t="shared" si="90"/>
        <v>4.6327859420944923</v>
      </c>
      <c r="G92" s="16">
        <f t="shared" si="90"/>
        <v>4.0918724461725686</v>
      </c>
      <c r="H92" s="16">
        <f t="shared" si="90"/>
        <v>4.2107800703819196</v>
      </c>
      <c r="I92" s="16">
        <f t="shared" si="90"/>
        <v>4.5163242749625567</v>
      </c>
      <c r="J92" s="16">
        <f t="shared" si="90"/>
        <v>4.4237883012603954</v>
      </c>
      <c r="K92" s="16">
        <f t="shared" si="90"/>
        <v>4.3261553436503002</v>
      </c>
      <c r="L92" s="16">
        <f t="shared" si="90"/>
        <v>4.3019427435449265</v>
      </c>
      <c r="M92" s="16">
        <f t="shared" si="90"/>
        <v>4.174980732853661</v>
      </c>
      <c r="N92" s="16">
        <f t="shared" si="90"/>
        <v>3.8852415888641723</v>
      </c>
      <c r="O92" s="16">
        <f t="shared" ref="O92" si="91">SUM(O93:O94)</f>
        <v>3.8636341659990769</v>
      </c>
      <c r="P92" s="16">
        <f t="shared" ref="P92:Q92" si="92">SUM(P93:P94)</f>
        <v>4.0581432113248912</v>
      </c>
      <c r="Q92" s="16">
        <f t="shared" si="92"/>
        <v>4.1100533544424032</v>
      </c>
    </row>
    <row r="93" spans="2:17" ht="18" customHeight="1">
      <c r="B93" s="17" t="s">
        <v>22</v>
      </c>
      <c r="C93" s="18">
        <f t="shared" ref="C93:N94" si="93">C8/C$123*100</f>
        <v>1.8154479764593821</v>
      </c>
      <c r="D93" s="18">
        <f t="shared" si="93"/>
        <v>1.851573715819296</v>
      </c>
      <c r="E93" s="18">
        <f t="shared" si="93"/>
        <v>1.8386728508824783</v>
      </c>
      <c r="F93" s="18">
        <f t="shared" si="93"/>
        <v>1.7921316740692805</v>
      </c>
      <c r="G93" s="18">
        <f t="shared" si="93"/>
        <v>1.9795004572874542</v>
      </c>
      <c r="H93" s="18">
        <f t="shared" si="93"/>
        <v>1.8696109970663362</v>
      </c>
      <c r="I93" s="18">
        <f t="shared" si="93"/>
        <v>1.9313684362086354</v>
      </c>
      <c r="J93" s="18">
        <f t="shared" si="93"/>
        <v>1.8790221283400705</v>
      </c>
      <c r="K93" s="18">
        <f t="shared" si="93"/>
        <v>1.8592757197957708</v>
      </c>
      <c r="L93" s="18">
        <f t="shared" si="93"/>
        <v>1.8414288013749103</v>
      </c>
      <c r="M93" s="18">
        <f t="shared" si="93"/>
        <v>1.9301563503914969</v>
      </c>
      <c r="N93" s="18">
        <f t="shared" si="93"/>
        <v>1.8953836954456196</v>
      </c>
      <c r="O93" s="18">
        <f t="shared" ref="O93" si="94">O8/O$123*100</f>
        <v>1.8778158571275561</v>
      </c>
      <c r="P93" s="18">
        <f t="shared" ref="P93:Q93" si="95">P8/P$123*100</f>
        <v>1.9404237592710427</v>
      </c>
      <c r="Q93" s="18">
        <f t="shared" si="95"/>
        <v>1.9596275776969012</v>
      </c>
    </row>
    <row r="94" spans="2:17" ht="18" customHeight="1">
      <c r="B94" s="17" t="s">
        <v>23</v>
      </c>
      <c r="C94" s="18">
        <f t="shared" si="93"/>
        <v>2.137435092529596</v>
      </c>
      <c r="D94" s="18">
        <f t="shared" si="93"/>
        <v>2.4679623335535434</v>
      </c>
      <c r="E94" s="18">
        <f t="shared" si="93"/>
        <v>2.5540403348273988</v>
      </c>
      <c r="F94" s="18">
        <f t="shared" si="93"/>
        <v>2.8406542680252116</v>
      </c>
      <c r="G94" s="18">
        <f t="shared" si="93"/>
        <v>2.1123719888851142</v>
      </c>
      <c r="H94" s="18">
        <f t="shared" si="93"/>
        <v>2.3411690733155832</v>
      </c>
      <c r="I94" s="18">
        <f t="shared" si="93"/>
        <v>2.5849558387539209</v>
      </c>
      <c r="J94" s="18">
        <f t="shared" si="93"/>
        <v>2.5447661729203248</v>
      </c>
      <c r="K94" s="18">
        <f t="shared" si="93"/>
        <v>2.4668796238545294</v>
      </c>
      <c r="L94" s="18">
        <f t="shared" si="93"/>
        <v>2.4605139421700164</v>
      </c>
      <c r="M94" s="18">
        <f t="shared" si="93"/>
        <v>2.2448243824621641</v>
      </c>
      <c r="N94" s="18">
        <f t="shared" si="93"/>
        <v>1.9898578934185527</v>
      </c>
      <c r="O94" s="18">
        <f t="shared" ref="O94" si="96">O9/O$123*100</f>
        <v>1.9858183088715207</v>
      </c>
      <c r="P94" s="18">
        <f t="shared" ref="P94:Q94" si="97">P9/P$123*100</f>
        <v>2.1177194520538483</v>
      </c>
      <c r="Q94" s="18">
        <f t="shared" si="97"/>
        <v>2.1504257767455024</v>
      </c>
    </row>
    <row r="95" spans="2:17" ht="24.95" customHeight="1">
      <c r="B95" s="15" t="s">
        <v>24</v>
      </c>
      <c r="C95" s="21">
        <f>SUM(C96:C98)</f>
        <v>2.8727040905565389</v>
      </c>
      <c r="D95" s="21">
        <f t="shared" ref="D95:N95" si="98">SUM(D96:D98)</f>
        <v>3.0825005320036576</v>
      </c>
      <c r="E95" s="21">
        <f t="shared" si="98"/>
        <v>3.5483844325245788</v>
      </c>
      <c r="F95" s="21">
        <f t="shared" si="98"/>
        <v>3.5990714222970173</v>
      </c>
      <c r="G95" s="21">
        <f t="shared" si="98"/>
        <v>3.4861114537184648</v>
      </c>
      <c r="H95" s="21">
        <f t="shared" si="98"/>
        <v>3.4157527611242897</v>
      </c>
      <c r="I95" s="21">
        <f t="shared" si="98"/>
        <v>3.5635827239301552</v>
      </c>
      <c r="J95" s="21">
        <f t="shared" si="98"/>
        <v>3.8032910096955268</v>
      </c>
      <c r="K95" s="21">
        <f t="shared" si="98"/>
        <v>4.3276092253362286</v>
      </c>
      <c r="L95" s="21">
        <f t="shared" si="98"/>
        <v>4.2977500947840239</v>
      </c>
      <c r="M95" s="21">
        <f t="shared" si="98"/>
        <v>4.1224069725371875</v>
      </c>
      <c r="N95" s="21">
        <f t="shared" si="98"/>
        <v>4.3076676300223848</v>
      </c>
      <c r="O95" s="21">
        <f t="shared" ref="O95" si="99">SUM(O96:O98)</f>
        <v>4.3603225799373151</v>
      </c>
      <c r="P95" s="21">
        <f t="shared" ref="P95:Q95" si="100">SUM(P96:P98)</f>
        <v>4.3497959268049122</v>
      </c>
      <c r="Q95" s="21">
        <f t="shared" si="100"/>
        <v>4.393394940677303</v>
      </c>
    </row>
    <row r="96" spans="2:17" ht="18" customHeight="1">
      <c r="B96" s="17" t="s">
        <v>25</v>
      </c>
      <c r="C96" s="18">
        <f>C11/C$123*100</f>
        <v>0.68380013627704461</v>
      </c>
      <c r="D96" s="18">
        <f t="shared" ref="D96:N99" si="101">D11/D$123*100</f>
        <v>0.7362175663082684</v>
      </c>
      <c r="E96" s="18">
        <f t="shared" si="101"/>
        <v>0.78299094496451005</v>
      </c>
      <c r="F96" s="18">
        <f t="shared" si="101"/>
        <v>0.83161206311930524</v>
      </c>
      <c r="G96" s="18">
        <f t="shared" si="101"/>
        <v>0.74066768115662096</v>
      </c>
      <c r="H96" s="18">
        <f t="shared" si="101"/>
        <v>0.68821883773346815</v>
      </c>
      <c r="I96" s="18">
        <f t="shared" si="101"/>
        <v>0.7207422290618416</v>
      </c>
      <c r="J96" s="18">
        <f t="shared" si="101"/>
        <v>0.88791914234212332</v>
      </c>
      <c r="K96" s="18">
        <f t="shared" si="101"/>
        <v>0.94246084059086077</v>
      </c>
      <c r="L96" s="18">
        <f t="shared" si="101"/>
        <v>0.89407820392352311</v>
      </c>
      <c r="M96" s="18">
        <f t="shared" si="101"/>
        <v>0.87617447538723037</v>
      </c>
      <c r="N96" s="18">
        <f t="shared" si="101"/>
        <v>0.884741146579195</v>
      </c>
      <c r="O96" s="18">
        <f t="shared" ref="O96" si="102">O11/O$123*100</f>
        <v>0.88421017110498767</v>
      </c>
      <c r="P96" s="18">
        <f t="shared" ref="P96:Q96" si="103">P11/P$123*100</f>
        <v>0.90374391567083467</v>
      </c>
      <c r="Q96" s="18">
        <f t="shared" si="103"/>
        <v>0.9123208201991454</v>
      </c>
    </row>
    <row r="97" spans="2:17" ht="18" customHeight="1">
      <c r="B97" s="17" t="s">
        <v>26</v>
      </c>
      <c r="C97" s="18">
        <f>C12/C$123*100</f>
        <v>1.1414668883521568</v>
      </c>
      <c r="D97" s="18">
        <f t="shared" si="101"/>
        <v>1.2417957999086244</v>
      </c>
      <c r="E97" s="18">
        <f t="shared" si="101"/>
        <v>1.3559968082648757</v>
      </c>
      <c r="F97" s="18">
        <f t="shared" si="101"/>
        <v>1.3923103823951779</v>
      </c>
      <c r="G97" s="18">
        <f t="shared" si="101"/>
        <v>1.5141879944573284</v>
      </c>
      <c r="H97" s="18">
        <f t="shared" si="101"/>
        <v>1.407949956688884</v>
      </c>
      <c r="I97" s="18">
        <f t="shared" si="101"/>
        <v>1.584415545475252</v>
      </c>
      <c r="J97" s="18">
        <f t="shared" si="101"/>
        <v>1.4595512711264063</v>
      </c>
      <c r="K97" s="18">
        <f t="shared" si="101"/>
        <v>1.6445462795621473</v>
      </c>
      <c r="L97" s="18">
        <f t="shared" si="101"/>
        <v>1.7145149725119693</v>
      </c>
      <c r="M97" s="18">
        <f t="shared" si="101"/>
        <v>1.7207301832816799</v>
      </c>
      <c r="N97" s="18">
        <f t="shared" si="101"/>
        <v>1.7765138420749098</v>
      </c>
      <c r="O97" s="18">
        <f t="shared" ref="O97" si="104">O12/O$123*100</f>
        <v>1.8160685561239041</v>
      </c>
      <c r="P97" s="18">
        <f t="shared" ref="P97:Q97" si="105">P12/P$123*100</f>
        <v>1.8315226273691385</v>
      </c>
      <c r="Q97" s="18">
        <f t="shared" si="105"/>
        <v>1.9061874211296828</v>
      </c>
    </row>
    <row r="98" spans="2:17" ht="18" customHeight="1">
      <c r="B98" s="17" t="s">
        <v>22</v>
      </c>
      <c r="C98" s="18">
        <f>C13/C$123*100</f>
        <v>1.0474370659273371</v>
      </c>
      <c r="D98" s="18">
        <f t="shared" si="101"/>
        <v>1.104487165786765</v>
      </c>
      <c r="E98" s="18">
        <f t="shared" si="101"/>
        <v>1.4093966792951931</v>
      </c>
      <c r="F98" s="18">
        <f t="shared" si="101"/>
        <v>1.3751489767825344</v>
      </c>
      <c r="G98" s="18">
        <f t="shared" si="101"/>
        <v>1.2312557781045153</v>
      </c>
      <c r="H98" s="18">
        <f t="shared" si="101"/>
        <v>1.3195839667019373</v>
      </c>
      <c r="I98" s="18">
        <f t="shared" si="101"/>
        <v>1.2584249493930619</v>
      </c>
      <c r="J98" s="18">
        <f t="shared" si="101"/>
        <v>1.4558205962269974</v>
      </c>
      <c r="K98" s="18">
        <f t="shared" si="101"/>
        <v>1.7406021051832206</v>
      </c>
      <c r="L98" s="18">
        <f t="shared" si="101"/>
        <v>1.6891569183485315</v>
      </c>
      <c r="M98" s="18">
        <f t="shared" si="101"/>
        <v>1.5255023138682771</v>
      </c>
      <c r="N98" s="18">
        <f t="shared" si="101"/>
        <v>1.6464126413682805</v>
      </c>
      <c r="O98" s="18">
        <f t="shared" ref="O98" si="106">O13/O$123*100</f>
        <v>1.6600438527084236</v>
      </c>
      <c r="P98" s="18">
        <f t="shared" ref="P98:Q98" si="107">P13/P$123*100</f>
        <v>1.6145293837649393</v>
      </c>
      <c r="Q98" s="18">
        <f t="shared" si="107"/>
        <v>1.5748866993484747</v>
      </c>
    </row>
    <row r="99" spans="2:17" ht="24.95" customHeight="1">
      <c r="B99" s="15" t="s">
        <v>27</v>
      </c>
      <c r="C99" s="16">
        <f>C14/C$123*100</f>
        <v>0.56580221166145062</v>
      </c>
      <c r="D99" s="16">
        <f t="shared" si="101"/>
        <v>0.57446877941035845</v>
      </c>
      <c r="E99" s="16">
        <f t="shared" si="101"/>
        <v>0.55795827043073176</v>
      </c>
      <c r="F99" s="16">
        <f t="shared" si="101"/>
        <v>0.50453714866772414</v>
      </c>
      <c r="G99" s="16">
        <f t="shared" si="101"/>
        <v>0.37432590931971033</v>
      </c>
      <c r="H99" s="16">
        <f t="shared" si="101"/>
        <v>0.3727944595379859</v>
      </c>
      <c r="I99" s="16">
        <f t="shared" si="101"/>
        <v>0.3782677017794514</v>
      </c>
      <c r="J99" s="16">
        <f t="shared" si="101"/>
        <v>0.3916197566181851</v>
      </c>
      <c r="K99" s="16">
        <f t="shared" si="101"/>
        <v>0.43233843356542867</v>
      </c>
      <c r="L99" s="16">
        <f t="shared" si="101"/>
        <v>0.37687103525930282</v>
      </c>
      <c r="M99" s="16">
        <f t="shared" si="101"/>
        <v>0.37936287391886075</v>
      </c>
      <c r="N99" s="16">
        <f t="shared" si="101"/>
        <v>0.40093677212697965</v>
      </c>
      <c r="O99" s="16">
        <f t="shared" ref="O99" si="108">O14/O$123*100</f>
        <v>0.39515389099072246</v>
      </c>
      <c r="P99" s="16">
        <f t="shared" ref="P99:Q99" si="109">P14/P$123*100</f>
        <v>0.40407245701145256</v>
      </c>
      <c r="Q99" s="16">
        <f t="shared" si="109"/>
        <v>0.40105760712542882</v>
      </c>
    </row>
    <row r="100" spans="2:17" ht="24.95" customHeight="1">
      <c r="B100" s="15" t="s">
        <v>28</v>
      </c>
      <c r="C100" s="21">
        <f>SUM(C101:C106)</f>
        <v>0.34159282144509456</v>
      </c>
      <c r="D100" s="21">
        <f t="shared" ref="D100:N100" si="110">SUM(D101:D106)</f>
        <v>0.30386379762610866</v>
      </c>
      <c r="E100" s="21">
        <f t="shared" si="110"/>
        <v>0.28881257460284804</v>
      </c>
      <c r="F100" s="21">
        <f t="shared" si="110"/>
        <v>0.27182630899505139</v>
      </c>
      <c r="G100" s="21">
        <f t="shared" si="110"/>
        <v>0.26736214962031907</v>
      </c>
      <c r="H100" s="21">
        <f t="shared" si="110"/>
        <v>0.29864177338149778</v>
      </c>
      <c r="I100" s="21">
        <f t="shared" si="110"/>
        <v>0.33914248517781204</v>
      </c>
      <c r="J100" s="21">
        <f t="shared" si="110"/>
        <v>0.32627151927766329</v>
      </c>
      <c r="K100" s="21">
        <f t="shared" si="110"/>
        <v>0.32064866954421273</v>
      </c>
      <c r="L100" s="21">
        <f t="shared" si="110"/>
        <v>0.32489863549069709</v>
      </c>
      <c r="M100" s="21">
        <f t="shared" si="110"/>
        <v>0.3421885531934139</v>
      </c>
      <c r="N100" s="21">
        <f t="shared" si="110"/>
        <v>0.35003211540396229</v>
      </c>
      <c r="O100" s="21">
        <f t="shared" ref="O100" si="111">SUM(O101:O106)</f>
        <v>0.34062676352306259</v>
      </c>
      <c r="P100" s="21">
        <f t="shared" ref="P100:Q100" si="112">SUM(P101:P106)</f>
        <v>0.33355982191308725</v>
      </c>
      <c r="Q100" s="21">
        <f t="shared" si="112"/>
        <v>0.34909048627848327</v>
      </c>
    </row>
    <row r="101" spans="2:17" ht="18" customHeight="1">
      <c r="B101" s="17" t="s">
        <v>29</v>
      </c>
      <c r="C101" s="18">
        <f t="shared" ref="C101:N105" si="113">C16/C$123*100</f>
        <v>4.0041292148591652E-2</v>
      </c>
      <c r="D101" s="18">
        <f t="shared" si="113"/>
        <v>4.141943538361826E-2</v>
      </c>
      <c r="E101" s="18">
        <f t="shared" si="113"/>
        <v>3.7531867914823575E-2</v>
      </c>
      <c r="F101" s="18">
        <f t="shared" si="113"/>
        <v>3.7584336703009806E-2</v>
      </c>
      <c r="G101" s="18">
        <f t="shared" si="113"/>
        <v>3.6148660180142511E-2</v>
      </c>
      <c r="H101" s="18">
        <f t="shared" si="113"/>
        <v>3.185764227078175E-2</v>
      </c>
      <c r="I101" s="18">
        <f t="shared" si="113"/>
        <v>4.7086277902836648E-2</v>
      </c>
      <c r="J101" s="18">
        <f t="shared" si="113"/>
        <v>4.850703020412743E-2</v>
      </c>
      <c r="K101" s="18">
        <f t="shared" si="113"/>
        <v>4.3295813870790553E-2</v>
      </c>
      <c r="L101" s="18">
        <f t="shared" si="113"/>
        <v>4.4717660279717991E-2</v>
      </c>
      <c r="M101" s="18">
        <f t="shared" si="113"/>
        <v>4.2149825498842913E-2</v>
      </c>
      <c r="N101" s="18">
        <f t="shared" si="113"/>
        <v>3.9799259711908244E-2</v>
      </c>
      <c r="O101" s="18">
        <f t="shared" ref="O101" si="114">O16/O$123*100</f>
        <v>4.0839729629007088E-2</v>
      </c>
      <c r="P101" s="18">
        <f t="shared" ref="P101:Q101" si="115">P16/P$123*100</f>
        <v>4.0653698438880392E-2</v>
      </c>
      <c r="Q101" s="18">
        <f t="shared" si="115"/>
        <v>4.0455285810606943E-2</v>
      </c>
    </row>
    <row r="102" spans="2:17" ht="18" customHeight="1">
      <c r="B102" s="17" t="s">
        <v>30</v>
      </c>
      <c r="C102" s="18">
        <f t="shared" si="113"/>
        <v>7.5495462103687572E-2</v>
      </c>
      <c r="D102" s="18">
        <f t="shared" si="113"/>
        <v>8.3811388015792632E-2</v>
      </c>
      <c r="E102" s="18">
        <f t="shared" si="113"/>
        <v>7.8074344203271293E-2</v>
      </c>
      <c r="F102" s="18">
        <f t="shared" si="113"/>
        <v>7.522120405473097E-2</v>
      </c>
      <c r="G102" s="18">
        <f t="shared" si="113"/>
        <v>8.4817352891381592E-2</v>
      </c>
      <c r="H102" s="18">
        <f t="shared" si="113"/>
        <v>9.2428824767236642E-2</v>
      </c>
      <c r="I102" s="18">
        <f t="shared" si="113"/>
        <v>9.6642725566930821E-2</v>
      </c>
      <c r="J102" s="18">
        <f t="shared" si="113"/>
        <v>7.3814917130946886E-2</v>
      </c>
      <c r="K102" s="18">
        <f t="shared" si="113"/>
        <v>6.3684852457555285E-2</v>
      </c>
      <c r="L102" s="18">
        <f t="shared" si="113"/>
        <v>7.0027611296538325E-2</v>
      </c>
      <c r="M102" s="18">
        <f t="shared" si="113"/>
        <v>6.3160462944316639E-2</v>
      </c>
      <c r="N102" s="18">
        <f t="shared" si="113"/>
        <v>6.0971282568473846E-2</v>
      </c>
      <c r="O102" s="18">
        <f t="shared" ref="O102" si="116">O17/O$123*100</f>
        <v>5.4402776331165359E-2</v>
      </c>
      <c r="P102" s="18">
        <f t="shared" ref="P102:Q102" si="117">P17/P$123*100</f>
        <v>4.4846891039392961E-2</v>
      </c>
      <c r="Q102" s="18">
        <f t="shared" si="117"/>
        <v>4.6822506789049603E-2</v>
      </c>
    </row>
    <row r="103" spans="2:17" ht="18" customHeight="1">
      <c r="B103" s="17" t="s">
        <v>31</v>
      </c>
      <c r="C103" s="18">
        <f t="shared" si="113"/>
        <v>0.13953000651108993</v>
      </c>
      <c r="D103" s="18">
        <f t="shared" si="113"/>
        <v>8.2515210417071619E-2</v>
      </c>
      <c r="E103" s="18">
        <f t="shared" si="113"/>
        <v>7.6469782591444144E-2</v>
      </c>
      <c r="F103" s="18">
        <f t="shared" si="113"/>
        <v>7.2055939520395129E-2</v>
      </c>
      <c r="G103" s="18">
        <f t="shared" si="113"/>
        <v>6.7661311856522285E-2</v>
      </c>
      <c r="H103" s="18">
        <f t="shared" si="113"/>
        <v>8.3590422443289014E-2</v>
      </c>
      <c r="I103" s="18">
        <f t="shared" si="113"/>
        <v>8.633266264966391E-2</v>
      </c>
      <c r="J103" s="18">
        <f t="shared" si="113"/>
        <v>9.2887881643025957E-2</v>
      </c>
      <c r="K103" s="18">
        <f t="shared" si="113"/>
        <v>9.754688412875108E-2</v>
      </c>
      <c r="L103" s="18">
        <f t="shared" si="113"/>
        <v>9.7066767566026849E-2</v>
      </c>
      <c r="M103" s="18">
        <f t="shared" si="113"/>
        <v>0.10327675657387245</v>
      </c>
      <c r="N103" s="18">
        <f t="shared" si="113"/>
        <v>0.10338062437407133</v>
      </c>
      <c r="O103" s="18">
        <f t="shared" ref="O103" si="118">O18/O$123*100</f>
        <v>0.10017695488240719</v>
      </c>
      <c r="P103" s="18">
        <f t="shared" ref="P103:Q103" si="119">P18/P$123*100</f>
        <v>9.4581768273634598E-2</v>
      </c>
      <c r="Q103" s="18">
        <f t="shared" si="119"/>
        <v>9.5586756827232194E-2</v>
      </c>
    </row>
    <row r="104" spans="2:17" ht="18" customHeight="1">
      <c r="B104" s="17" t="s">
        <v>32</v>
      </c>
      <c r="C104" s="18">
        <f t="shared" si="113"/>
        <v>8.535093659001225E-2</v>
      </c>
      <c r="D104" s="18">
        <f t="shared" si="113"/>
        <v>9.2031903156834197E-2</v>
      </c>
      <c r="E104" s="18">
        <f t="shared" si="113"/>
        <v>9.2927396534748033E-2</v>
      </c>
      <c r="F104" s="18">
        <f t="shared" si="113"/>
        <v>8.3996776318752145E-2</v>
      </c>
      <c r="G104" s="18">
        <f t="shared" si="113"/>
        <v>7.6489386033785536E-2</v>
      </c>
      <c r="H104" s="18">
        <f t="shared" si="113"/>
        <v>8.7506352531884352E-2</v>
      </c>
      <c r="I104" s="18">
        <f t="shared" si="113"/>
        <v>0.10611532061578267</v>
      </c>
      <c r="J104" s="18">
        <f t="shared" si="113"/>
        <v>0.10785767087577708</v>
      </c>
      <c r="K104" s="18">
        <f t="shared" si="113"/>
        <v>0.11300141499052339</v>
      </c>
      <c r="L104" s="18">
        <f t="shared" si="113"/>
        <v>0.11005628086345302</v>
      </c>
      <c r="M104" s="18">
        <f t="shared" si="113"/>
        <v>0.11847056263610237</v>
      </c>
      <c r="N104" s="18">
        <f t="shared" si="113"/>
        <v>0.12542220090079906</v>
      </c>
      <c r="O104" s="18">
        <f t="shared" ref="O104" si="120">O19/O$123*100</f>
        <v>0.13037211666252804</v>
      </c>
      <c r="P104" s="18">
        <f t="shared" ref="P104:Q104" si="121">P19/P$123*100</f>
        <v>0.1401165351725874</v>
      </c>
      <c r="Q104" s="18">
        <f t="shared" si="121"/>
        <v>0.14749111958785158</v>
      </c>
    </row>
    <row r="105" spans="2:17" ht="18" customHeight="1">
      <c r="B105" s="17" t="s">
        <v>33</v>
      </c>
      <c r="C105" s="18">
        <f t="shared" si="113"/>
        <v>1.1751240917131582E-3</v>
      </c>
      <c r="D105" s="18">
        <f t="shared" si="113"/>
        <v>4.0858606527919873E-3</v>
      </c>
      <c r="E105" s="18">
        <f t="shared" si="113"/>
        <v>3.8091833585609941E-3</v>
      </c>
      <c r="F105" s="18">
        <f t="shared" si="113"/>
        <v>2.9680523981633292E-3</v>
      </c>
      <c r="G105" s="18">
        <f t="shared" si="113"/>
        <v>2.2454386584871166E-3</v>
      </c>
      <c r="H105" s="18">
        <f t="shared" si="113"/>
        <v>3.2585313683060205E-3</v>
      </c>
      <c r="I105" s="18">
        <f t="shared" si="113"/>
        <v>2.9654984425979782E-3</v>
      </c>
      <c r="J105" s="18">
        <f t="shared" si="113"/>
        <v>3.2040194237859545E-3</v>
      </c>
      <c r="K105" s="18">
        <f t="shared" si="113"/>
        <v>3.119704096592419E-3</v>
      </c>
      <c r="L105" s="18">
        <f t="shared" si="113"/>
        <v>3.0303154849609195E-3</v>
      </c>
      <c r="M105" s="18">
        <f t="shared" si="113"/>
        <v>2.872488164640349E-3</v>
      </c>
      <c r="N105" s="18">
        <f t="shared" si="113"/>
        <v>1.8919932052971521E-3</v>
      </c>
      <c r="O105" s="18">
        <f t="shared" ref="O105" si="122">O20/O$123*100</f>
        <v>1.5660538343074068E-3</v>
      </c>
      <c r="P105" s="18">
        <f t="shared" ref="P105:Q105" si="123">P20/P$123*100</f>
        <v>2.2006422473245133E-3</v>
      </c>
      <c r="Q105" s="18">
        <f t="shared" si="123"/>
        <v>1.8731720600341968E-3</v>
      </c>
    </row>
    <row r="106" spans="2:17" ht="18" customHeight="1">
      <c r="B106" s="17" t="s">
        <v>34</v>
      </c>
      <c r="C106" s="20"/>
      <c r="D106" s="20"/>
      <c r="E106" s="20"/>
      <c r="F106" s="20"/>
      <c r="G106" s="20"/>
      <c r="H106" s="20"/>
      <c r="I106" s="20"/>
      <c r="J106" s="20"/>
      <c r="K106" s="20"/>
      <c r="L106" s="20"/>
      <c r="M106" s="18">
        <f>M21/M$123*100</f>
        <v>1.2258457375639124E-2</v>
      </c>
      <c r="N106" s="18">
        <f>N21/N$123*100</f>
        <v>1.8566754643412654E-2</v>
      </c>
      <c r="O106" s="18">
        <f>O21/O$123*100</f>
        <v>1.3269132183647524E-2</v>
      </c>
      <c r="P106" s="18">
        <f>P21/P$123*100</f>
        <v>1.1160286741267393E-2</v>
      </c>
      <c r="Q106" s="18">
        <f>Q21/Q$123*100</f>
        <v>1.6861645203708742E-2</v>
      </c>
    </row>
    <row r="107" spans="2:17" ht="24.95" customHeight="1">
      <c r="B107" s="15" t="s">
        <v>35</v>
      </c>
      <c r="C107" s="21">
        <f>SUM(C108:C114)</f>
        <v>5.4861922302354059E-2</v>
      </c>
      <c r="D107" s="21">
        <f t="shared" ref="D107:K107" si="124">SUM(D108:D114)</f>
        <v>6.1157427457313777E-2</v>
      </c>
      <c r="E107" s="21">
        <f t="shared" si="124"/>
        <v>5.7412458212705922E-2</v>
      </c>
      <c r="F107" s="21">
        <f t="shared" si="124"/>
        <v>5.2355589876849198E-2</v>
      </c>
      <c r="G107" s="21">
        <f t="shared" si="124"/>
        <v>0.16467749962787517</v>
      </c>
      <c r="H107" s="21">
        <f t="shared" si="124"/>
        <v>0.20504360600002602</v>
      </c>
      <c r="I107" s="21">
        <f t="shared" si="124"/>
        <v>0.18771532382031358</v>
      </c>
      <c r="J107" s="21">
        <f t="shared" si="124"/>
        <v>0.15034140548906649</v>
      </c>
      <c r="K107" s="21">
        <f t="shared" si="124"/>
        <v>0.15064773584236435</v>
      </c>
      <c r="L107" s="21">
        <f t="shared" ref="L107:Q107" si="125">SUM(L108:L112)</f>
        <v>0.14109452341760695</v>
      </c>
      <c r="M107" s="21">
        <f t="shared" si="125"/>
        <v>0.25859263912307406</v>
      </c>
      <c r="N107" s="21">
        <f t="shared" si="125"/>
        <v>0.25403285486403759</v>
      </c>
      <c r="O107" s="21">
        <f t="shared" si="125"/>
        <v>0.24966827026027388</v>
      </c>
      <c r="P107" s="21">
        <f t="shared" si="125"/>
        <v>0.2489848951565303</v>
      </c>
      <c r="Q107" s="21">
        <f t="shared" si="125"/>
        <v>0.11541461066802758</v>
      </c>
    </row>
    <row r="108" spans="2:17" ht="18" customHeight="1">
      <c r="B108" s="17" t="s">
        <v>36</v>
      </c>
      <c r="C108" s="18">
        <f t="shared" ref="C108:N111" si="126">C23/C$123*100</f>
        <v>5.4696962852088714E-2</v>
      </c>
      <c r="D108" s="18">
        <f t="shared" si="126"/>
        <v>5.8360604854158379E-2</v>
      </c>
      <c r="E108" s="18">
        <f t="shared" si="126"/>
        <v>5.5145453642335446E-2</v>
      </c>
      <c r="F108" s="18">
        <f t="shared" si="126"/>
        <v>5.0086865266869375E-2</v>
      </c>
      <c r="G108" s="18">
        <f t="shared" si="126"/>
        <v>2.9580990329299246E-2</v>
      </c>
      <c r="H108" s="18">
        <f t="shared" si="126"/>
        <v>4.4627449219207367E-2</v>
      </c>
      <c r="I108" s="18">
        <f t="shared" si="126"/>
        <v>3.8487300937004844E-2</v>
      </c>
      <c r="J108" s="18">
        <f t="shared" si="126"/>
        <v>4.3004680038249046E-2</v>
      </c>
      <c r="K108" s="18">
        <f t="shared" si="126"/>
        <v>4.3424403527631363E-2</v>
      </c>
      <c r="L108" s="18">
        <f t="shared" si="126"/>
        <v>5.5026448526941628E-2</v>
      </c>
      <c r="M108" s="18">
        <f t="shared" si="126"/>
        <v>4.1878597625077646E-2</v>
      </c>
      <c r="N108" s="18">
        <f t="shared" si="126"/>
        <v>4.4794030912337489E-2</v>
      </c>
      <c r="O108" s="18">
        <f t="shared" ref="O108" si="127">O23/O$123*100</f>
        <v>4.5826590412295899E-2</v>
      </c>
      <c r="P108" s="18">
        <f t="shared" ref="P108:Q108" si="128">P23/P$123*100</f>
        <v>4.4720577358661459E-2</v>
      </c>
      <c r="Q108" s="18">
        <f t="shared" si="128"/>
        <v>5.3621257678424419E-2</v>
      </c>
    </row>
    <row r="109" spans="2:17" ht="18" customHeight="1">
      <c r="B109" s="17" t="s">
        <v>37</v>
      </c>
      <c r="C109" s="18">
        <f t="shared" si="126"/>
        <v>1.6495945026534224E-4</v>
      </c>
      <c r="D109" s="18">
        <f t="shared" si="126"/>
        <v>2.7968226031553963E-3</v>
      </c>
      <c r="E109" s="18">
        <f t="shared" si="126"/>
        <v>2.2670045703704791E-3</v>
      </c>
      <c r="F109" s="18">
        <f t="shared" si="126"/>
        <v>2.2687246099798242E-3</v>
      </c>
      <c r="G109" s="18">
        <f t="shared" si="126"/>
        <v>2.2892779187370254E-3</v>
      </c>
      <c r="H109" s="18">
        <f t="shared" si="126"/>
        <v>2.5830315287577138E-3</v>
      </c>
      <c r="I109" s="18">
        <f t="shared" si="126"/>
        <v>2.5072742851677552E-3</v>
      </c>
      <c r="J109" s="18">
        <f t="shared" si="126"/>
        <v>2.3825758259434257E-3</v>
      </c>
      <c r="K109" s="18">
        <f t="shared" si="126"/>
        <v>2.4536718724421308E-3</v>
      </c>
      <c r="L109" s="18">
        <f t="shared" si="126"/>
        <v>2.4763259472759163E-3</v>
      </c>
      <c r="M109" s="18">
        <f t="shared" si="126"/>
        <v>2.2452624429138025E-3</v>
      </c>
      <c r="N109" s="18">
        <f t="shared" si="126"/>
        <v>2.5402484711711591E-3</v>
      </c>
      <c r="O109" s="18">
        <f t="shared" ref="O109" si="129">O24/O$123*100</f>
        <v>3.2282438160828983E-3</v>
      </c>
      <c r="P109" s="18">
        <f t="shared" ref="P109:Q109" si="130">P24/P$123*100</f>
        <v>3.5509695689516889E-3</v>
      </c>
      <c r="Q109" s="18">
        <f t="shared" si="130"/>
        <v>2.6462195517178437E-3</v>
      </c>
    </row>
    <row r="110" spans="2:17" ht="18" customHeight="1">
      <c r="B110" s="17" t="s">
        <v>38</v>
      </c>
      <c r="C110" s="20"/>
      <c r="D110" s="20"/>
      <c r="E110" s="20"/>
      <c r="F110" s="20"/>
      <c r="G110" s="18">
        <f t="shared" si="126"/>
        <v>0.13280723137983891</v>
      </c>
      <c r="H110" s="18">
        <f t="shared" si="126"/>
        <v>0.1371184599130959</v>
      </c>
      <c r="I110" s="18">
        <f t="shared" si="126"/>
        <v>0.12901108052838278</v>
      </c>
      <c r="J110" s="18">
        <f t="shared" si="126"/>
        <v>8.5315887104504537E-2</v>
      </c>
      <c r="K110" s="18">
        <f t="shared" si="126"/>
        <v>8.0841423202988885E-2</v>
      </c>
      <c r="L110" s="18">
        <f t="shared" si="126"/>
        <v>6.0403001221149298E-2</v>
      </c>
      <c r="M110" s="18">
        <f t="shared" si="126"/>
        <v>0</v>
      </c>
      <c r="N110" s="18">
        <f t="shared" si="126"/>
        <v>0</v>
      </c>
      <c r="O110" s="18">
        <f t="shared" ref="O110" si="131">O25/O$123*100</f>
        <v>0</v>
      </c>
      <c r="P110" s="18">
        <f t="shared" ref="P110:Q110" si="132">P25/P$123*100</f>
        <v>0</v>
      </c>
      <c r="Q110" s="18">
        <f t="shared" si="132"/>
        <v>0</v>
      </c>
    </row>
    <row r="111" spans="2:17" ht="18" customHeight="1">
      <c r="B111" s="17" t="s">
        <v>39</v>
      </c>
      <c r="C111" s="20"/>
      <c r="D111" s="20"/>
      <c r="E111" s="20"/>
      <c r="F111" s="20"/>
      <c r="G111" s="20"/>
      <c r="H111" s="18">
        <f t="shared" si="126"/>
        <v>2.0714665338965044E-2</v>
      </c>
      <c r="I111" s="18">
        <f t="shared" si="126"/>
        <v>1.7709668069758204E-2</v>
      </c>
      <c r="J111" s="18">
        <f t="shared" si="126"/>
        <v>1.9638262520369487E-2</v>
      </c>
      <c r="K111" s="18">
        <f t="shared" si="126"/>
        <v>2.3928237239301972E-2</v>
      </c>
      <c r="L111" s="18">
        <f t="shared" si="126"/>
        <v>2.31887477222401E-2</v>
      </c>
      <c r="M111" s="18">
        <f t="shared" si="126"/>
        <v>2.3370350802790648E-2</v>
      </c>
      <c r="N111" s="18">
        <f t="shared" si="126"/>
        <v>2.8224834324262E-2</v>
      </c>
      <c r="O111" s="18">
        <f t="shared" ref="O111" si="133">O26/O$123*100</f>
        <v>2.6608337542126371E-2</v>
      </c>
      <c r="P111" s="18">
        <f t="shared" ref="P111:Q111" si="134">P26/P$123*100</f>
        <v>2.8030194297565258E-2</v>
      </c>
      <c r="Q111" s="18">
        <f t="shared" si="134"/>
        <v>2.761900974866547E-2</v>
      </c>
    </row>
    <row r="112" spans="2:17" ht="18" customHeight="1">
      <c r="B112" s="17" t="s">
        <v>40</v>
      </c>
      <c r="C112" s="20"/>
      <c r="D112" s="20"/>
      <c r="E112" s="20"/>
      <c r="F112" s="20"/>
      <c r="G112" s="20"/>
      <c r="H112" s="18"/>
      <c r="I112" s="18"/>
      <c r="J112" s="18"/>
      <c r="K112" s="18"/>
      <c r="L112" s="18">
        <f t="shared" ref="L112:Q112" si="135">L113+L114</f>
        <v>0</v>
      </c>
      <c r="M112" s="18">
        <f t="shared" si="135"/>
        <v>0.19109842825229195</v>
      </c>
      <c r="N112" s="18">
        <f t="shared" si="135"/>
        <v>0.17847374115626696</v>
      </c>
      <c r="O112" s="18">
        <f t="shared" si="135"/>
        <v>0.17400509848976872</v>
      </c>
      <c r="P112" s="18">
        <f t="shared" si="135"/>
        <v>0.17268315393135189</v>
      </c>
      <c r="Q112" s="18">
        <f t="shared" si="135"/>
        <v>3.1528123689219846E-2</v>
      </c>
    </row>
    <row r="113" spans="2:20" ht="18" customHeight="1">
      <c r="B113" s="24" t="s">
        <v>41</v>
      </c>
      <c r="C113" s="20"/>
      <c r="D113" s="20"/>
      <c r="E113" s="20"/>
      <c r="F113" s="20"/>
      <c r="G113" s="20"/>
      <c r="H113" s="20"/>
      <c r="I113" s="20"/>
      <c r="J113" s="20"/>
      <c r="K113" s="20"/>
      <c r="L113" s="18">
        <f t="shared" ref="L113:N114" si="136">L28/L$123*100</f>
        <v>0</v>
      </c>
      <c r="M113" s="18">
        <f t="shared" si="136"/>
        <v>0.12255997967424175</v>
      </c>
      <c r="N113" s="18">
        <f t="shared" si="136"/>
        <v>0.11354414039681029</v>
      </c>
      <c r="O113" s="18">
        <f t="shared" ref="O113" si="137">O28/O$123*100</f>
        <v>0.10856840444689239</v>
      </c>
      <c r="P113" s="18">
        <f t="shared" ref="P113:Q113" si="138">P28/P$123*100</f>
        <v>0.10727744063577689</v>
      </c>
      <c r="Q113" s="18">
        <f t="shared" si="138"/>
        <v>1.9666530376573402E-2</v>
      </c>
    </row>
    <row r="114" spans="2:20" ht="18" customHeight="1">
      <c r="B114" s="24" t="s">
        <v>42</v>
      </c>
      <c r="C114" s="20"/>
      <c r="D114" s="20"/>
      <c r="E114" s="20"/>
      <c r="F114" s="20"/>
      <c r="G114" s="20"/>
      <c r="H114" s="20"/>
      <c r="I114" s="20"/>
      <c r="J114" s="20"/>
      <c r="K114" s="20"/>
      <c r="L114" s="18">
        <f t="shared" si="136"/>
        <v>0</v>
      </c>
      <c r="M114" s="18">
        <f t="shared" si="136"/>
        <v>6.8538448578050221E-2</v>
      </c>
      <c r="N114" s="18">
        <f t="shared" si="136"/>
        <v>6.4929600759456668E-2</v>
      </c>
      <c r="O114" s="18">
        <f t="shared" ref="O114" si="139">O29/O$123*100</f>
        <v>6.5436694042876331E-2</v>
      </c>
      <c r="P114" s="18">
        <f t="shared" ref="P114:Q114" si="140">P29/P$123*100</f>
        <v>6.5405713295574999E-2</v>
      </c>
      <c r="Q114" s="18">
        <f t="shared" si="140"/>
        <v>1.1861593312646445E-2</v>
      </c>
    </row>
    <row r="115" spans="2:20" ht="24.95" customHeight="1">
      <c r="B115" s="25" t="s">
        <v>43</v>
      </c>
      <c r="C115" s="16">
        <f t="shared" ref="C115:N115" si="141">SUM(C116:C122)</f>
        <v>0.23643400727990199</v>
      </c>
      <c r="D115" s="16">
        <f t="shared" si="141"/>
        <v>0.24463944908371249</v>
      </c>
      <c r="E115" s="16">
        <f t="shared" si="141"/>
        <v>0.23443442691081162</v>
      </c>
      <c r="F115" s="16">
        <f t="shared" si="141"/>
        <v>0.3138926620444113</v>
      </c>
      <c r="G115" s="16">
        <f t="shared" si="141"/>
        <v>0.32672240464229996</v>
      </c>
      <c r="H115" s="16">
        <f t="shared" si="141"/>
        <v>0.30789026800853425</v>
      </c>
      <c r="I115" s="16">
        <f t="shared" si="141"/>
        <v>0.28263251805136907</v>
      </c>
      <c r="J115" s="16">
        <f t="shared" si="141"/>
        <v>0.27801898214498633</v>
      </c>
      <c r="K115" s="16">
        <f t="shared" si="141"/>
        <v>0.30191127222276792</v>
      </c>
      <c r="L115" s="16">
        <f t="shared" si="141"/>
        <v>0.27143332586804947</v>
      </c>
      <c r="M115" s="16">
        <f t="shared" si="141"/>
        <v>0.28211537508789059</v>
      </c>
      <c r="N115" s="16">
        <f t="shared" si="141"/>
        <v>0.41795628023553755</v>
      </c>
      <c r="O115" s="16">
        <f t="shared" ref="O115" si="142">SUM(O116:O122)</f>
        <v>0.65373401404125553</v>
      </c>
      <c r="P115" s="16">
        <f t="shared" ref="P115:Q115" si="143">SUM(P116:P122)</f>
        <v>0.65078713375400188</v>
      </c>
      <c r="Q115" s="16">
        <f t="shared" si="143"/>
        <v>0.67145275223787193</v>
      </c>
    </row>
    <row r="116" spans="2:20" ht="18" customHeight="1">
      <c r="B116" s="17" t="s">
        <v>44</v>
      </c>
      <c r="C116" s="18">
        <f t="shared" ref="C116:N119" si="144">C31/C$123*100</f>
        <v>0.23451614777520746</v>
      </c>
      <c r="D116" s="18">
        <f t="shared" si="144"/>
        <v>0.22446765721514339</v>
      </c>
      <c r="E116" s="18">
        <f t="shared" si="144"/>
        <v>0.21194111364204152</v>
      </c>
      <c r="F116" s="18">
        <f t="shared" si="144"/>
        <v>0.19183635386662176</v>
      </c>
      <c r="G116" s="18">
        <f t="shared" si="144"/>
        <v>0.20194152646176888</v>
      </c>
      <c r="H116" s="18">
        <f t="shared" si="144"/>
        <v>0.19130135354012812</v>
      </c>
      <c r="I116" s="18">
        <f t="shared" si="144"/>
        <v>0.17451401030774341</v>
      </c>
      <c r="J116" s="18">
        <f t="shared" si="144"/>
        <v>0.17127088961781337</v>
      </c>
      <c r="K116" s="18">
        <f t="shared" si="144"/>
        <v>0.16725047637756604</v>
      </c>
      <c r="L116" s="18">
        <f t="shared" si="144"/>
        <v>0.16807332246883722</v>
      </c>
      <c r="M116" s="18">
        <f t="shared" si="144"/>
        <v>0.17293268782126989</v>
      </c>
      <c r="N116" s="18">
        <f t="shared" si="144"/>
        <v>0.17989501248441778</v>
      </c>
      <c r="O116" s="18">
        <f t="shared" ref="O116" si="145">O31/O$123*100</f>
        <v>0.17844686105607474</v>
      </c>
      <c r="P116" s="18">
        <f t="shared" ref="P116:Q116" si="146">P31/P$123*100</f>
        <v>0.17911035263542077</v>
      </c>
      <c r="Q116" s="18">
        <f t="shared" si="146"/>
        <v>0.1796543696521101</v>
      </c>
    </row>
    <row r="117" spans="2:20" ht="18" customHeight="1">
      <c r="B117" s="17" t="s">
        <v>45</v>
      </c>
      <c r="C117" s="18">
        <f t="shared" si="144"/>
        <v>1.9178595046945165E-3</v>
      </c>
      <c r="D117" s="18">
        <f t="shared" si="144"/>
        <v>2.3883934202047637E-3</v>
      </c>
      <c r="E117" s="18">
        <f t="shared" si="144"/>
        <v>2.3577182829514895E-3</v>
      </c>
      <c r="F117" s="18">
        <f t="shared" si="144"/>
        <v>2.1855251241320759E-3</v>
      </c>
      <c r="G117" s="18">
        <f t="shared" si="144"/>
        <v>1.9137782772267553E-3</v>
      </c>
      <c r="H117" s="18">
        <f t="shared" si="144"/>
        <v>1.0182680757505453E-3</v>
      </c>
      <c r="I117" s="18">
        <f t="shared" si="144"/>
        <v>1.3561329298582415E-3</v>
      </c>
      <c r="J117" s="18">
        <f t="shared" si="144"/>
        <v>1.6899957682892897E-3</v>
      </c>
      <c r="K117" s="18">
        <f t="shared" si="144"/>
        <v>0</v>
      </c>
      <c r="L117" s="18">
        <f t="shared" si="144"/>
        <v>0</v>
      </c>
      <c r="M117" s="18">
        <f t="shared" si="144"/>
        <v>1.7134798943948006E-3</v>
      </c>
      <c r="N117" s="18">
        <f t="shared" si="144"/>
        <v>1.5525320535511346E-3</v>
      </c>
      <c r="O117" s="18">
        <f t="shared" ref="O117" si="147">O32/O$123*100</f>
        <v>1.7557731736679721E-3</v>
      </c>
      <c r="P117" s="18">
        <f t="shared" ref="P117:Q117" si="148">P32/P$123*100</f>
        <v>2.1845428511559684E-3</v>
      </c>
      <c r="Q117" s="18">
        <f t="shared" si="148"/>
        <v>1.7215230194414538E-3</v>
      </c>
    </row>
    <row r="118" spans="2:20" ht="18" customHeight="1">
      <c r="B118" s="17" t="s">
        <v>46</v>
      </c>
      <c r="C118" s="20"/>
      <c r="D118" s="18">
        <f t="shared" si="144"/>
        <v>1.7783398448364334E-2</v>
      </c>
      <c r="E118" s="18">
        <f t="shared" si="144"/>
        <v>2.0135594985818628E-2</v>
      </c>
      <c r="F118" s="18">
        <f t="shared" si="144"/>
        <v>2.3952466991236397E-2</v>
      </c>
      <c r="G118" s="18">
        <f t="shared" si="144"/>
        <v>2.1865657706506562E-2</v>
      </c>
      <c r="H118" s="18">
        <f t="shared" si="144"/>
        <v>1.9748015440223074E-2</v>
      </c>
      <c r="I118" s="18">
        <f t="shared" si="144"/>
        <v>1.9336515531128813E-2</v>
      </c>
      <c r="J118" s="18">
        <f t="shared" si="144"/>
        <v>1.9291959889928764E-2</v>
      </c>
      <c r="K118" s="18">
        <f t="shared" si="144"/>
        <v>2.0050533764783347E-2</v>
      </c>
      <c r="L118" s="18">
        <f t="shared" si="144"/>
        <v>1.9003626623090655E-2</v>
      </c>
      <c r="M118" s="18">
        <f t="shared" si="144"/>
        <v>2.0875294220043823E-2</v>
      </c>
      <c r="N118" s="18">
        <f t="shared" si="144"/>
        <v>2.114836357042342E-2</v>
      </c>
      <c r="O118" s="18">
        <f t="shared" ref="O118" si="149">O33/O$123*100</f>
        <v>2.1672754540381745E-2</v>
      </c>
      <c r="P118" s="18">
        <f t="shared" ref="P118:Q118" si="150">P33/P$123*100</f>
        <v>2.2056809279984529E-2</v>
      </c>
      <c r="Q118" s="18">
        <f t="shared" si="150"/>
        <v>2.3161086098932006E-2</v>
      </c>
    </row>
    <row r="119" spans="2:20" ht="18" customHeight="1">
      <c r="B119" s="17" t="s">
        <v>47</v>
      </c>
      <c r="C119" s="20"/>
      <c r="D119" s="20"/>
      <c r="E119" s="20"/>
      <c r="F119" s="18">
        <f t="shared" si="144"/>
        <v>9.591831606242103E-2</v>
      </c>
      <c r="G119" s="18">
        <f t="shared" si="144"/>
        <v>0.1010014421967978</v>
      </c>
      <c r="H119" s="18">
        <f t="shared" si="144"/>
        <v>9.5822630952432569E-2</v>
      </c>
      <c r="I119" s="18">
        <f t="shared" si="144"/>
        <v>8.7425859282638643E-2</v>
      </c>
      <c r="J119" s="18">
        <f t="shared" si="144"/>
        <v>8.5766136868954915E-2</v>
      </c>
      <c r="K119" s="18">
        <f t="shared" si="144"/>
        <v>8.3878429545595087E-2</v>
      </c>
      <c r="L119" s="18">
        <f t="shared" si="144"/>
        <v>8.435637677612158E-2</v>
      </c>
      <c r="M119" s="18">
        <f t="shared" si="144"/>
        <v>8.6593913152182067E-2</v>
      </c>
      <c r="N119" s="18">
        <f t="shared" si="144"/>
        <v>9.0407053499383744E-2</v>
      </c>
      <c r="O119" s="18">
        <f t="shared" ref="O119" si="151">O34/O$123*100</f>
        <v>8.972688117002707E-2</v>
      </c>
      <c r="P119" s="18">
        <f t="shared" ref="P119:Q119" si="152">P34/P$123*100</f>
        <v>8.9927510866586791E-2</v>
      </c>
      <c r="Q119" s="18">
        <f t="shared" si="152"/>
        <v>9.0369824546372282E-2</v>
      </c>
    </row>
    <row r="120" spans="2:20" ht="18" customHeight="1">
      <c r="B120" s="17" t="s">
        <v>48</v>
      </c>
      <c r="C120" s="20"/>
      <c r="D120" s="20"/>
      <c r="E120" s="20"/>
      <c r="F120" s="20"/>
      <c r="G120" s="20"/>
      <c r="H120" s="20"/>
      <c r="I120" s="20"/>
      <c r="J120" s="20"/>
      <c r="K120" s="18">
        <f>K35/K$123*100</f>
        <v>3.0731832534823401E-2</v>
      </c>
      <c r="L120" s="20"/>
      <c r="M120" s="19"/>
      <c r="N120" s="19"/>
      <c r="O120" s="19"/>
      <c r="P120" s="19"/>
      <c r="Q120" s="19"/>
    </row>
    <row r="121" spans="2:20" ht="18" customHeight="1">
      <c r="B121" s="17" t="s">
        <v>49</v>
      </c>
      <c r="C121" s="20"/>
      <c r="D121" s="20"/>
      <c r="E121" s="20"/>
      <c r="F121" s="20"/>
      <c r="G121" s="20"/>
      <c r="H121" s="20"/>
      <c r="I121" s="20"/>
      <c r="J121" s="20"/>
      <c r="K121" s="18"/>
      <c r="L121" s="20"/>
      <c r="M121" s="19"/>
      <c r="N121" s="19">
        <f t="shared" ref="N121:P122" si="153">N36/N$123*100</f>
        <v>9.5864919758997538E-2</v>
      </c>
      <c r="O121" s="19">
        <f t="shared" ref="O121" si="154">O36/O$123*100</f>
        <v>9.6209942165366852E-2</v>
      </c>
      <c r="P121" s="19">
        <f t="shared" si="153"/>
        <v>9.0796200474806327E-2</v>
      </c>
      <c r="Q121" s="19">
        <f t="shared" ref="Q121" si="155">Q36/Q$123*100</f>
        <v>0.10300048903507956</v>
      </c>
    </row>
    <row r="122" spans="2:20" ht="18" customHeight="1">
      <c r="B122" s="17" t="s">
        <v>50</v>
      </c>
      <c r="C122" s="20"/>
      <c r="D122" s="20"/>
      <c r="E122" s="20"/>
      <c r="F122" s="20"/>
      <c r="G122" s="20"/>
      <c r="H122" s="20"/>
      <c r="I122" s="20"/>
      <c r="J122" s="20"/>
      <c r="K122" s="18"/>
      <c r="L122" s="20"/>
      <c r="M122" s="19"/>
      <c r="N122" s="19">
        <f t="shared" si="153"/>
        <v>2.9088398868763948E-2</v>
      </c>
      <c r="O122" s="19">
        <f t="shared" ref="O122" si="156">O37/O$123*100</f>
        <v>0.26592180193573717</v>
      </c>
      <c r="P122" s="19">
        <f t="shared" si="153"/>
        <v>0.26671171764604751</v>
      </c>
      <c r="Q122" s="19">
        <f t="shared" ref="Q122" si="157">Q37/Q$123*100</f>
        <v>0.27354545988593648</v>
      </c>
    </row>
    <row r="123" spans="2:20" ht="30" customHeight="1">
      <c r="B123" s="26" t="s">
        <v>56</v>
      </c>
      <c r="C123" s="27">
        <v>14698</v>
      </c>
      <c r="D123" s="27">
        <v>15999.89</v>
      </c>
      <c r="E123" s="27">
        <v>17011.75</v>
      </c>
      <c r="F123" s="27">
        <v>17986.89</v>
      </c>
      <c r="G123" s="27">
        <v>17601.62</v>
      </c>
      <c r="H123" s="27">
        <v>18447.919999999998</v>
      </c>
      <c r="I123" s="27">
        <v>20283.78</v>
      </c>
      <c r="J123" s="27">
        <v>21386.15</v>
      </c>
      <c r="K123" s="27">
        <v>21990.959999999999</v>
      </c>
      <c r="L123" s="27">
        <v>22593.47</v>
      </c>
      <c r="M123" s="27">
        <v>23438.240000000002</v>
      </c>
      <c r="N123" s="27">
        <v>24154.11</v>
      </c>
      <c r="O123" s="27">
        <v>24927.97</v>
      </c>
      <c r="P123" s="27">
        <v>26056.94</v>
      </c>
      <c r="Q123" s="27">
        <v>26844.7</v>
      </c>
      <c r="S123" s="9"/>
      <c r="T123" s="9"/>
    </row>
    <row r="124" spans="2:20">
      <c r="B124" s="28" t="s">
        <v>623</v>
      </c>
      <c r="C124" s="28"/>
      <c r="D124" s="28"/>
      <c r="E124" s="28"/>
      <c r="F124" s="28"/>
      <c r="G124" s="28"/>
      <c r="H124" s="28"/>
      <c r="I124" s="28"/>
      <c r="J124" s="28"/>
      <c r="K124" s="28"/>
      <c r="L124" s="28"/>
      <c r="M124" s="28"/>
      <c r="N124" s="28"/>
      <c r="O124" s="28"/>
      <c r="P124" s="28"/>
      <c r="Q124" s="28"/>
      <c r="S124" s="9"/>
      <c r="T124" s="9"/>
    </row>
    <row r="125" spans="2:20">
      <c r="S125" s="9"/>
      <c r="T125" s="9"/>
    </row>
  </sheetData>
  <printOptions horizontalCentered="1"/>
  <pageMargins left="0.7" right="0.7" top="0.75" bottom="0.75" header="0.3" footer="0.3"/>
  <pageSetup scale="22" orientation="landscape" r:id="rId1"/>
  <ignoredErrors>
    <ignoredError sqref="O10:Q10 C10:N10" formulaRange="1"/>
    <ignoredError sqref="O52:Q52 O57:Q57 O64:Q64 O69:Q69 O72:Q72 O95:Q95 O100:Q100 O112:Q112 O107:Q107 O115:Q115 L115:N115 M107:N107 L112:N112 C100:N100 C95:N95 L72:N72 L69:N69 M64:N64 C57:N57 C52:N52" 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3:B5"/>
  <sheetViews>
    <sheetView workbookViewId="0">
      <selection activeCell="A15" sqref="A15"/>
    </sheetView>
  </sheetViews>
  <sheetFormatPr baseColWidth="10" defaultRowHeight="15"/>
  <cols>
    <col min="2" max="2" width="65.7109375" customWidth="1"/>
  </cols>
  <sheetData>
    <row r="3" spans="2:2" ht="33.75">
      <c r="B3" s="1" t="s">
        <v>112</v>
      </c>
    </row>
    <row r="4" spans="2:2" ht="33.75">
      <c r="B4" s="1" t="s">
        <v>17</v>
      </c>
    </row>
    <row r="5" spans="2:2" ht="33.75">
      <c r="B5" s="1"/>
    </row>
  </sheetData>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D126"/>
  <sheetViews>
    <sheetView topLeftCell="A41" workbookViewId="0">
      <selection activeCell="Y43" sqref="Y43"/>
    </sheetView>
  </sheetViews>
  <sheetFormatPr baseColWidth="10" defaultRowHeight="15"/>
  <cols>
    <col min="1" max="1" width="1.7109375" customWidth="1"/>
    <col min="2" max="2" width="52" style="2" customWidth="1"/>
    <col min="3" max="12" width="12.7109375" style="2" hidden="1" customWidth="1"/>
    <col min="13" max="15" width="12.7109375" hidden="1" customWidth="1"/>
    <col min="16" max="22" width="12.7109375" customWidth="1"/>
    <col min="23" max="23" width="1.7109375" customWidth="1"/>
  </cols>
  <sheetData>
    <row r="2" spans="2:24">
      <c r="B2" s="2" t="s">
        <v>18</v>
      </c>
      <c r="M2" s="2"/>
      <c r="N2" s="2"/>
      <c r="O2" s="2"/>
      <c r="P2" s="2"/>
      <c r="Q2" s="2"/>
      <c r="R2" s="2"/>
      <c r="S2" s="2"/>
      <c r="T2" s="2"/>
      <c r="U2" s="2"/>
    </row>
    <row r="3" spans="2:24">
      <c r="B3" s="2" t="s">
        <v>772</v>
      </c>
      <c r="M3" s="2"/>
      <c r="N3" s="2"/>
      <c r="O3" s="2"/>
      <c r="P3" s="2"/>
      <c r="Q3" s="2"/>
      <c r="R3" s="2"/>
      <c r="S3" s="2"/>
      <c r="T3" s="2"/>
      <c r="U3" s="2"/>
      <c r="V3" s="2"/>
    </row>
    <row r="4" spans="2:24">
      <c r="B4" s="2" t="s">
        <v>19</v>
      </c>
      <c r="M4" s="2"/>
      <c r="N4" s="2"/>
      <c r="O4" s="2"/>
      <c r="P4" s="2"/>
      <c r="Q4" s="2"/>
      <c r="R4" s="2"/>
      <c r="S4" s="2"/>
      <c r="T4" s="2"/>
      <c r="U4" s="2"/>
      <c r="V4" s="2"/>
    </row>
    <row r="5" spans="2:24" ht="6" customHeight="1">
      <c r="M5" s="2"/>
      <c r="N5" s="2"/>
      <c r="O5" s="2"/>
      <c r="P5" s="2"/>
      <c r="Q5" s="2"/>
      <c r="R5" s="2"/>
      <c r="S5" s="2"/>
      <c r="T5" s="2"/>
      <c r="U5" s="2"/>
      <c r="V5" s="2"/>
    </row>
    <row r="6" spans="2:24" ht="30" customHeight="1">
      <c r="B6" s="289" t="s">
        <v>238</v>
      </c>
      <c r="C6" s="289">
        <v>2000</v>
      </c>
      <c r="D6" s="290">
        <v>2001</v>
      </c>
      <c r="E6" s="290">
        <v>2002</v>
      </c>
      <c r="F6" s="290">
        <v>2003</v>
      </c>
      <c r="G6" s="290">
        <v>2004</v>
      </c>
      <c r="H6" s="290">
        <v>2005</v>
      </c>
      <c r="I6" s="290">
        <v>2006</v>
      </c>
      <c r="J6" s="290">
        <v>2007</v>
      </c>
      <c r="K6" s="290">
        <v>2008</v>
      </c>
      <c r="L6" s="290">
        <v>2009</v>
      </c>
      <c r="M6" s="290">
        <v>2010</v>
      </c>
      <c r="N6" s="290">
        <v>2011</v>
      </c>
      <c r="O6" s="290">
        <v>2012</v>
      </c>
      <c r="P6" s="290">
        <v>2013</v>
      </c>
      <c r="Q6" s="290">
        <v>2014</v>
      </c>
      <c r="R6" s="290">
        <v>2015</v>
      </c>
      <c r="S6" s="290">
        <v>2016</v>
      </c>
      <c r="T6" s="290">
        <v>2017</v>
      </c>
      <c r="U6" s="290">
        <v>2018</v>
      </c>
      <c r="V6" s="291" t="s">
        <v>773</v>
      </c>
    </row>
    <row r="7" spans="2:24" ht="6" customHeight="1">
      <c r="B7" s="292"/>
      <c r="C7" s="292"/>
      <c r="D7" s="293"/>
      <c r="E7" s="293"/>
      <c r="F7" s="293"/>
      <c r="G7" s="293"/>
      <c r="H7" s="293"/>
      <c r="I7" s="293"/>
      <c r="J7" s="293"/>
      <c r="K7" s="293"/>
      <c r="L7" s="293"/>
      <c r="M7" s="293"/>
      <c r="N7" s="293"/>
      <c r="O7" s="293"/>
      <c r="P7" s="293"/>
      <c r="Q7" s="293"/>
      <c r="R7" s="293"/>
      <c r="S7" s="611"/>
      <c r="T7" s="611"/>
      <c r="U7" s="611"/>
      <c r="V7" s="294"/>
      <c r="X7" s="9"/>
    </row>
    <row r="8" spans="2:24" ht="24.75" customHeight="1">
      <c r="B8" s="295" t="s">
        <v>239</v>
      </c>
      <c r="C8" s="296">
        <f t="shared" ref="C8:L8" si="0">+C9+C14+C15</f>
        <v>2178.8000000000002</v>
      </c>
      <c r="D8" s="296">
        <f t="shared" si="0"/>
        <v>2146.7000000000003</v>
      </c>
      <c r="E8" s="296">
        <f t="shared" si="0"/>
        <v>2308.1</v>
      </c>
      <c r="F8" s="296">
        <f t="shared" si="0"/>
        <v>2512.6</v>
      </c>
      <c r="G8" s="296">
        <f t="shared" si="0"/>
        <v>2676.6</v>
      </c>
      <c r="H8" s="296">
        <f t="shared" si="0"/>
        <v>2884.3009427000002</v>
      </c>
      <c r="I8" s="296">
        <f t="shared" si="0"/>
        <v>3285.3858353599999</v>
      </c>
      <c r="J8" s="296">
        <f t="shared" si="0"/>
        <v>3640.30602572</v>
      </c>
      <c r="K8" s="296">
        <f t="shared" si="0"/>
        <v>3935.7654304499993</v>
      </c>
      <c r="L8" s="296">
        <f t="shared" si="0"/>
        <v>3626.4</v>
      </c>
      <c r="M8" s="296">
        <f t="shared" ref="M8:S8" si="1">+M9+M14+M15</f>
        <v>3993.8376498354637</v>
      </c>
      <c r="N8" s="296">
        <f t="shared" si="1"/>
        <v>4513.6091341608007</v>
      </c>
      <c r="O8" s="296">
        <f t="shared" si="1"/>
        <v>4759.2401025479994</v>
      </c>
      <c r="P8" s="296">
        <f t="shared" si="1"/>
        <v>4877.0369841418005</v>
      </c>
      <c r="Q8" s="296">
        <f t="shared" si="1"/>
        <v>4956.2448841349988</v>
      </c>
      <c r="R8" s="297">
        <f t="shared" si="1"/>
        <v>5122.2245473407093</v>
      </c>
      <c r="S8" s="297">
        <f t="shared" si="1"/>
        <v>5343.740035920001</v>
      </c>
      <c r="T8" s="297">
        <f t="shared" ref="T8:U8" si="2">+T9+T14+T15</f>
        <v>5697.9210238639998</v>
      </c>
      <c r="U8" s="297">
        <f t="shared" si="2"/>
        <v>5996.7978686821634</v>
      </c>
      <c r="V8" s="298">
        <f t="shared" ref="V8" si="3">+V9+V14+V15</f>
        <v>3276.2232007635316</v>
      </c>
      <c r="X8" s="9"/>
    </row>
    <row r="9" spans="2:24">
      <c r="B9" s="299" t="s">
        <v>240</v>
      </c>
      <c r="C9" s="300">
        <f t="shared" ref="C9:I9" si="4">SUM(C10:C13)</f>
        <v>2061.2000000000003</v>
      </c>
      <c r="D9" s="300">
        <f t="shared" si="4"/>
        <v>2088.1000000000004</v>
      </c>
      <c r="E9" s="300">
        <f t="shared" si="4"/>
        <v>2193.3999999999996</v>
      </c>
      <c r="F9" s="300">
        <f t="shared" si="4"/>
        <v>2442.5</v>
      </c>
      <c r="G9" s="300">
        <f t="shared" si="4"/>
        <v>2628.16</v>
      </c>
      <c r="H9" s="300">
        <f t="shared" si="4"/>
        <v>2832.0282286299998</v>
      </c>
      <c r="I9" s="300">
        <f t="shared" si="4"/>
        <v>3244.038</v>
      </c>
      <c r="J9" s="300">
        <f>SUM(J10:J13)</f>
        <v>3577.9515544199999</v>
      </c>
      <c r="K9" s="300">
        <f>SUM(K10:K13)</f>
        <v>3882.7901449099991</v>
      </c>
      <c r="L9" s="300">
        <f>SUM(L10:L13)</f>
        <v>3517.6</v>
      </c>
      <c r="M9" s="300">
        <f>SUM(M10:M13)</f>
        <v>3829.1781679854639</v>
      </c>
      <c r="N9" s="300">
        <f t="shared" ref="N9:S9" si="5">SUM(N10:N13)</f>
        <v>4299.5764209408007</v>
      </c>
      <c r="O9" s="300">
        <f t="shared" si="5"/>
        <v>4581.0828625879994</v>
      </c>
      <c r="P9" s="300">
        <f t="shared" si="5"/>
        <v>4806.2057311318003</v>
      </c>
      <c r="Q9" s="300">
        <f t="shared" si="5"/>
        <v>4909.8852659849981</v>
      </c>
      <c r="R9" s="301">
        <f t="shared" si="5"/>
        <v>5069.4422832007094</v>
      </c>
      <c r="S9" s="301">
        <f t="shared" si="5"/>
        <v>5297.7746622500008</v>
      </c>
      <c r="T9" s="301">
        <f t="shared" ref="T9:U9" si="6">SUM(T10:T13)</f>
        <v>5653.6804946539996</v>
      </c>
      <c r="U9" s="301">
        <f t="shared" si="6"/>
        <v>5936.3664708821634</v>
      </c>
      <c r="V9" s="302">
        <f t="shared" ref="V9" si="7">SUM(V10:V13)</f>
        <v>3226.5255807635317</v>
      </c>
      <c r="X9" s="9"/>
    </row>
    <row r="10" spans="2:24" ht="17.25">
      <c r="B10" s="303" t="s">
        <v>316</v>
      </c>
      <c r="C10" s="300">
        <v>1451.2</v>
      </c>
      <c r="D10" s="300">
        <v>1530.2</v>
      </c>
      <c r="E10" s="300">
        <v>1685</v>
      </c>
      <c r="F10" s="300">
        <v>1812.3</v>
      </c>
      <c r="G10" s="300">
        <v>1925.2</v>
      </c>
      <c r="H10" s="300">
        <v>2229.3736267799995</v>
      </c>
      <c r="I10" s="300">
        <v>2573.549</v>
      </c>
      <c r="J10" s="300">
        <v>2876.7896027100001</v>
      </c>
      <c r="K10" s="300">
        <v>3089.5573173799994</v>
      </c>
      <c r="L10" s="300">
        <v>2836</v>
      </c>
      <c r="M10" s="300">
        <v>3071.7681433099997</v>
      </c>
      <c r="N10" s="300">
        <v>3486.6051467400002</v>
      </c>
      <c r="O10" s="300">
        <v>3685.3693020800001</v>
      </c>
      <c r="P10" s="300">
        <v>3944.0956929100007</v>
      </c>
      <c r="Q10" s="300">
        <v>3989.01623277</v>
      </c>
      <c r="R10" s="301">
        <v>4118.0533892699996</v>
      </c>
      <c r="S10" s="301">
        <v>4237.9935829500009</v>
      </c>
      <c r="T10" s="301">
        <v>4488.179321442999</v>
      </c>
      <c r="U10" s="301">
        <v>4769.3019497790001</v>
      </c>
      <c r="V10" s="302">
        <v>2695.3323726800004</v>
      </c>
      <c r="X10" s="9"/>
    </row>
    <row r="11" spans="2:24">
      <c r="B11" s="303" t="s">
        <v>317</v>
      </c>
      <c r="C11" s="300">
        <v>522.70000000000005</v>
      </c>
      <c r="D11" s="300">
        <v>508.6</v>
      </c>
      <c r="E11" s="300">
        <v>508.2</v>
      </c>
      <c r="F11" s="300">
        <v>534.70000000000005</v>
      </c>
      <c r="G11" s="300">
        <v>603.29999999999995</v>
      </c>
      <c r="H11" s="300">
        <v>511.86000185</v>
      </c>
      <c r="I11" s="300">
        <v>552.44000000000005</v>
      </c>
      <c r="J11" s="300">
        <v>590.40235171000006</v>
      </c>
      <c r="K11" s="300">
        <v>619.37203594000005</v>
      </c>
      <c r="L11" s="300">
        <v>573</v>
      </c>
      <c r="M11" s="300">
        <v>651.54253399599997</v>
      </c>
      <c r="N11" s="300">
        <v>643.99647005999998</v>
      </c>
      <c r="O11" s="300">
        <v>733.8704479999999</v>
      </c>
      <c r="P11" s="300">
        <v>755.77455565999992</v>
      </c>
      <c r="Q11" s="300">
        <v>797.06644614199831</v>
      </c>
      <c r="R11" s="301">
        <v>836.35586964670983</v>
      </c>
      <c r="S11" s="301">
        <v>937.83689692000007</v>
      </c>
      <c r="T11" s="301">
        <v>1049.1104440209999</v>
      </c>
      <c r="U11" s="301">
        <v>995.49091864000002</v>
      </c>
      <c r="V11" s="302">
        <v>464.54907396053096</v>
      </c>
      <c r="X11" s="9"/>
    </row>
    <row r="12" spans="2:24">
      <c r="B12" s="303" t="s">
        <v>318</v>
      </c>
      <c r="C12" s="300">
        <v>87.3</v>
      </c>
      <c r="D12" s="300">
        <v>49.3</v>
      </c>
      <c r="E12" s="300">
        <v>0.2</v>
      </c>
      <c r="F12" s="300">
        <v>95.5</v>
      </c>
      <c r="G12" s="300">
        <v>99.66</v>
      </c>
      <c r="H12" s="300">
        <v>90.794599999999974</v>
      </c>
      <c r="I12" s="300">
        <v>118.04900000000001</v>
      </c>
      <c r="J12" s="300">
        <v>110.75959999999999</v>
      </c>
      <c r="K12" s="300">
        <v>173.86079158999996</v>
      </c>
      <c r="L12" s="300">
        <v>108.6</v>
      </c>
      <c r="M12" s="300">
        <v>105.86749067946397</v>
      </c>
      <c r="N12" s="300">
        <v>168.97480414080002</v>
      </c>
      <c r="O12" s="300">
        <v>161.84311250799999</v>
      </c>
      <c r="P12" s="300">
        <v>106.33548256179998</v>
      </c>
      <c r="Q12" s="300">
        <v>123.802587073</v>
      </c>
      <c r="R12" s="301">
        <v>115.03302428399996</v>
      </c>
      <c r="S12" s="301">
        <v>121.94418237999997</v>
      </c>
      <c r="T12" s="301">
        <v>116.39072919000006</v>
      </c>
      <c r="U12" s="301">
        <v>171.57360246316338</v>
      </c>
      <c r="V12" s="302">
        <v>66.644134123000043</v>
      </c>
      <c r="X12" s="9"/>
    </row>
    <row r="13" spans="2:24" hidden="1">
      <c r="B13" s="303" t="s">
        <v>319</v>
      </c>
      <c r="C13" s="300"/>
      <c r="D13" s="300"/>
      <c r="E13" s="300"/>
      <c r="F13" s="300"/>
      <c r="G13" s="300"/>
      <c r="H13" s="300"/>
      <c r="I13" s="300"/>
      <c r="J13" s="304"/>
      <c r="K13" s="304"/>
      <c r="L13" s="304"/>
      <c r="M13" s="300">
        <v>0</v>
      </c>
      <c r="N13" s="300">
        <v>0</v>
      </c>
      <c r="O13" s="300">
        <v>0</v>
      </c>
      <c r="P13" s="300">
        <v>0</v>
      </c>
      <c r="Q13" s="300">
        <v>0</v>
      </c>
      <c r="R13" s="301">
        <v>0</v>
      </c>
      <c r="S13" s="609">
        <v>0</v>
      </c>
      <c r="T13" s="609">
        <v>0</v>
      </c>
      <c r="U13" s="609">
        <v>0</v>
      </c>
      <c r="V13" s="305">
        <v>0</v>
      </c>
      <c r="X13" s="9"/>
    </row>
    <row r="14" spans="2:24">
      <c r="B14" s="299" t="s">
        <v>244</v>
      </c>
      <c r="C14" s="300">
        <v>7.6</v>
      </c>
      <c r="D14" s="300">
        <v>1.2</v>
      </c>
      <c r="E14" s="300">
        <v>64.900000000000006</v>
      </c>
      <c r="F14" s="300">
        <v>0.4</v>
      </c>
      <c r="G14" s="300">
        <v>0.1</v>
      </c>
      <c r="H14" s="300">
        <v>0.13624099999999997</v>
      </c>
      <c r="I14" s="300">
        <v>4.9000000000000002E-2</v>
      </c>
      <c r="J14" s="300">
        <v>1.372585E-2</v>
      </c>
      <c r="K14" s="300">
        <v>9.4474290000000002E-2</v>
      </c>
      <c r="L14" s="300">
        <v>0</v>
      </c>
      <c r="M14" s="300">
        <v>0.23120028999999997</v>
      </c>
      <c r="N14" s="300">
        <v>0.16299186999999998</v>
      </c>
      <c r="O14" s="300">
        <v>0.176733</v>
      </c>
      <c r="P14" s="300">
        <v>1.0554000000000001E-2</v>
      </c>
      <c r="Q14" s="300">
        <v>3.6828600000000003E-2</v>
      </c>
      <c r="R14" s="301">
        <v>0</v>
      </c>
      <c r="S14" s="301">
        <v>6.9502640000000004E-2</v>
      </c>
      <c r="T14" s="301">
        <v>0</v>
      </c>
      <c r="U14" s="301">
        <v>0</v>
      </c>
      <c r="V14" s="302"/>
      <c r="X14" s="9"/>
    </row>
    <row r="15" spans="2:24">
      <c r="B15" s="299" t="s">
        <v>245</v>
      </c>
      <c r="C15" s="300">
        <v>110</v>
      </c>
      <c r="D15" s="300">
        <v>57.4</v>
      </c>
      <c r="E15" s="300">
        <v>49.8</v>
      </c>
      <c r="F15" s="300">
        <v>69.7</v>
      </c>
      <c r="G15" s="300">
        <v>48.34</v>
      </c>
      <c r="H15" s="300">
        <v>52.136473070000001</v>
      </c>
      <c r="I15" s="300">
        <v>41.298835359999998</v>
      </c>
      <c r="J15" s="300">
        <v>62.34074545</v>
      </c>
      <c r="K15" s="300">
        <v>52.880811250000008</v>
      </c>
      <c r="L15" s="300">
        <v>108.8</v>
      </c>
      <c r="M15" s="300">
        <v>164.42828155999999</v>
      </c>
      <c r="N15" s="300">
        <v>213.86972134999999</v>
      </c>
      <c r="O15" s="300">
        <v>177.98050696000001</v>
      </c>
      <c r="P15" s="300">
        <v>70.820699009999998</v>
      </c>
      <c r="Q15" s="300">
        <v>46.322789549999996</v>
      </c>
      <c r="R15" s="301">
        <v>52.782264140000002</v>
      </c>
      <c r="S15" s="301">
        <v>45.895871030000002</v>
      </c>
      <c r="T15" s="301">
        <v>44.240529209999998</v>
      </c>
      <c r="U15" s="301">
        <v>60.431397799999999</v>
      </c>
      <c r="V15" s="302">
        <v>49.697619999999993</v>
      </c>
      <c r="X15" s="9"/>
    </row>
    <row r="16" spans="2:24" ht="24.75" customHeight="1">
      <c r="B16" s="295" t="s">
        <v>246</v>
      </c>
      <c r="C16" s="296">
        <f t="shared" ref="C16:S16" si="8">+C17+C23+C26</f>
        <v>2577.2900000000004</v>
      </c>
      <c r="D16" s="296">
        <f t="shared" si="8"/>
        <v>2649.7</v>
      </c>
      <c r="E16" s="296">
        <f t="shared" si="8"/>
        <v>2783.0999999999995</v>
      </c>
      <c r="F16" s="296">
        <f t="shared" si="8"/>
        <v>2822.9</v>
      </c>
      <c r="G16" s="296">
        <f t="shared" si="8"/>
        <v>2779.3900000000003</v>
      </c>
      <c r="H16" s="296">
        <f t="shared" si="8"/>
        <v>3064.9877970690004</v>
      </c>
      <c r="I16" s="296">
        <f t="shared" si="8"/>
        <v>3481.6672571200002</v>
      </c>
      <c r="J16" s="296">
        <f t="shared" si="8"/>
        <v>3716.1502301367109</v>
      </c>
      <c r="K16" s="296">
        <f t="shared" si="8"/>
        <v>4298.5762987800008</v>
      </c>
      <c r="L16" s="296">
        <f t="shared" si="8"/>
        <v>4451.5588424800007</v>
      </c>
      <c r="M16" s="296">
        <f t="shared" si="8"/>
        <v>4553.6995740269995</v>
      </c>
      <c r="N16" s="296">
        <f t="shared" si="8"/>
        <v>5014.6129833620998</v>
      </c>
      <c r="O16" s="296">
        <f t="shared" si="8"/>
        <v>5153.7945016159993</v>
      </c>
      <c r="P16" s="296">
        <f t="shared" si="8"/>
        <v>5414.1664862849993</v>
      </c>
      <c r="Q16" s="296">
        <f t="shared" si="8"/>
        <v>5396.2312416099994</v>
      </c>
      <c r="R16" s="297">
        <f t="shared" si="8"/>
        <v>5488.2642303518905</v>
      </c>
      <c r="S16" s="297">
        <f t="shared" si="8"/>
        <v>5574.156070050135</v>
      </c>
      <c r="T16" s="297">
        <f t="shared" ref="T16:U16" si="9">+T17+T23+T26</f>
        <v>5769.78191419</v>
      </c>
      <c r="U16" s="297">
        <f t="shared" si="9"/>
        <v>6325.244937579334</v>
      </c>
      <c r="V16" s="298">
        <f t="shared" ref="V16" si="10">+V17+V23+V26</f>
        <v>3200.8959305027374</v>
      </c>
      <c r="X16" s="9"/>
    </row>
    <row r="17" spans="1:25">
      <c r="B17" s="299" t="s">
        <v>320</v>
      </c>
      <c r="C17" s="300">
        <f t="shared" ref="C17:H17" si="11">+C18+C21+C22</f>
        <v>2141.3700000000003</v>
      </c>
      <c r="D17" s="300">
        <f t="shared" si="11"/>
        <v>2029.8000000000002</v>
      </c>
      <c r="E17" s="300">
        <f t="shared" si="11"/>
        <v>2077.1999999999998</v>
      </c>
      <c r="F17" s="300">
        <f t="shared" si="11"/>
        <v>2274</v>
      </c>
      <c r="G17" s="300">
        <f t="shared" si="11"/>
        <v>2410.67</v>
      </c>
      <c r="H17" s="300">
        <f t="shared" si="11"/>
        <v>2585.107594819</v>
      </c>
      <c r="I17" s="300">
        <f t="shared" ref="I17:S17" si="12">+I18+I21+I22</f>
        <v>2903.01</v>
      </c>
      <c r="J17" s="300">
        <f t="shared" si="12"/>
        <v>3148.7192593447107</v>
      </c>
      <c r="K17" s="300">
        <f t="shared" si="12"/>
        <v>3637.4641588340005</v>
      </c>
      <c r="L17" s="300">
        <f t="shared" si="12"/>
        <v>3809.35884248</v>
      </c>
      <c r="M17" s="300">
        <f t="shared" si="12"/>
        <v>3876.4034444569998</v>
      </c>
      <c r="N17" s="300">
        <f t="shared" si="12"/>
        <v>4346.1475076460001</v>
      </c>
      <c r="O17" s="300">
        <f t="shared" si="12"/>
        <v>4370.3840815499998</v>
      </c>
      <c r="P17" s="300">
        <f t="shared" si="12"/>
        <v>4624.7461888749995</v>
      </c>
      <c r="Q17" s="300">
        <f t="shared" si="12"/>
        <v>4707.5580582274997</v>
      </c>
      <c r="R17" s="301">
        <f t="shared" si="12"/>
        <v>4777.728690113001</v>
      </c>
      <c r="S17" s="301">
        <f t="shared" si="12"/>
        <v>4757.5236205658148</v>
      </c>
      <c r="T17" s="301">
        <f t="shared" ref="T17:U17" si="13">+T18+T21+T22</f>
        <v>5026.604021565</v>
      </c>
      <c r="U17" s="301">
        <f t="shared" si="13"/>
        <v>5436.86809446194</v>
      </c>
      <c r="V17" s="302">
        <f t="shared" ref="V17" si="14">+V18+V21+V22</f>
        <v>2773.1388796577376</v>
      </c>
      <c r="X17" s="9"/>
    </row>
    <row r="18" spans="1:25">
      <c r="B18" s="303" t="s">
        <v>321</v>
      </c>
      <c r="C18" s="300">
        <f t="shared" ref="C18:S18" si="15">SUM(C19:C20)</f>
        <v>1490.94</v>
      </c>
      <c r="D18" s="300">
        <f t="shared" si="15"/>
        <v>1520.8000000000002</v>
      </c>
      <c r="E18" s="300">
        <f t="shared" si="15"/>
        <v>1526.7</v>
      </c>
      <c r="F18" s="300">
        <f t="shared" si="15"/>
        <v>1667.9</v>
      </c>
      <c r="G18" s="300">
        <f t="shared" si="15"/>
        <v>1751.13</v>
      </c>
      <c r="H18" s="300">
        <f t="shared" si="15"/>
        <v>1885.054775609</v>
      </c>
      <c r="I18" s="300">
        <f t="shared" si="15"/>
        <v>2034.2</v>
      </c>
      <c r="J18" s="300">
        <f t="shared" si="15"/>
        <v>2136.9095560777105</v>
      </c>
      <c r="K18" s="300">
        <f t="shared" si="15"/>
        <v>2350.9443288440002</v>
      </c>
      <c r="L18" s="300">
        <f t="shared" si="15"/>
        <v>2533.3000000000002</v>
      </c>
      <c r="M18" s="300">
        <f t="shared" si="15"/>
        <v>2653.8507606359999</v>
      </c>
      <c r="N18" s="300">
        <f t="shared" si="15"/>
        <v>2860.0194975860004</v>
      </c>
      <c r="O18" s="300">
        <f t="shared" si="15"/>
        <v>2894.6608568269999</v>
      </c>
      <c r="P18" s="300">
        <f t="shared" si="15"/>
        <v>3176.80274697</v>
      </c>
      <c r="Q18" s="300">
        <f t="shared" si="15"/>
        <v>3291.1878248174999</v>
      </c>
      <c r="R18" s="301">
        <f t="shared" si="15"/>
        <v>3385.7206379750005</v>
      </c>
      <c r="S18" s="301">
        <f t="shared" si="15"/>
        <v>3532.8027738419996</v>
      </c>
      <c r="T18" s="301">
        <f t="shared" ref="T18:U18" si="16">SUM(T19:T20)</f>
        <v>3567.1216257350002</v>
      </c>
      <c r="U18" s="301">
        <f t="shared" si="16"/>
        <v>3758.7758008834999</v>
      </c>
      <c r="V18" s="302">
        <f t="shared" ref="V18" si="17">SUM(V19:V20)</f>
        <v>1844.4288106070321</v>
      </c>
      <c r="X18" s="9"/>
    </row>
    <row r="19" spans="1:25">
      <c r="B19" s="306" t="s">
        <v>322</v>
      </c>
      <c r="C19" s="300">
        <v>1114.2</v>
      </c>
      <c r="D19" s="300">
        <v>1084.4000000000001</v>
      </c>
      <c r="E19" s="300">
        <v>1055.2</v>
      </c>
      <c r="F19" s="300">
        <v>1103</v>
      </c>
      <c r="G19" s="300">
        <v>1158.81</v>
      </c>
      <c r="H19" s="300">
        <v>1205.3672938520001</v>
      </c>
      <c r="I19" s="300">
        <v>1315.25</v>
      </c>
      <c r="J19" s="300">
        <v>1408.5774926321101</v>
      </c>
      <c r="K19" s="300">
        <v>1528.2875067786001</v>
      </c>
      <c r="L19" s="300">
        <v>1659.2</v>
      </c>
      <c r="M19" s="300">
        <v>1710.0599665945001</v>
      </c>
      <c r="N19" s="300">
        <v>1928.3036594530001</v>
      </c>
      <c r="O19" s="300">
        <v>1996.4153954439998</v>
      </c>
      <c r="P19" s="300">
        <v>2116.2952585780004</v>
      </c>
      <c r="Q19" s="300">
        <v>2231.8229406032501</v>
      </c>
      <c r="R19" s="301">
        <v>2324.4355837114999</v>
      </c>
      <c r="S19" s="301">
        <v>2436.8950189531997</v>
      </c>
      <c r="T19" s="301">
        <v>2510.8458017295002</v>
      </c>
      <c r="U19" s="301">
        <v>2641.8433674244498</v>
      </c>
      <c r="V19" s="302">
        <v>1315.0741383295001</v>
      </c>
      <c r="X19" s="9"/>
    </row>
    <row r="20" spans="1:25">
      <c r="B20" s="306" t="s">
        <v>323</v>
      </c>
      <c r="C20" s="300">
        <v>376.74</v>
      </c>
      <c r="D20" s="300">
        <v>436.4</v>
      </c>
      <c r="E20" s="300">
        <v>471.5</v>
      </c>
      <c r="F20" s="300">
        <v>564.9</v>
      </c>
      <c r="G20" s="300">
        <v>592.32000000000005</v>
      </c>
      <c r="H20" s="300">
        <v>679.68748175699989</v>
      </c>
      <c r="I20" s="300">
        <v>718.95</v>
      </c>
      <c r="J20" s="300">
        <v>728.33206344560017</v>
      </c>
      <c r="K20" s="300">
        <v>822.65682206539998</v>
      </c>
      <c r="L20" s="300">
        <v>874.1</v>
      </c>
      <c r="M20" s="300">
        <v>943.79079404149991</v>
      </c>
      <c r="N20" s="300">
        <v>931.71583813300003</v>
      </c>
      <c r="O20" s="300">
        <v>898.24546138299991</v>
      </c>
      <c r="P20" s="300">
        <v>1060.5074883919999</v>
      </c>
      <c r="Q20" s="300">
        <v>1059.3648842142497</v>
      </c>
      <c r="R20" s="301">
        <v>1061.2850542635003</v>
      </c>
      <c r="S20" s="301">
        <v>1095.9077548887999</v>
      </c>
      <c r="T20" s="301">
        <v>1056.2758240055</v>
      </c>
      <c r="U20" s="301">
        <v>1116.9324334590499</v>
      </c>
      <c r="V20" s="302">
        <v>529.35467227753213</v>
      </c>
      <c r="X20" s="9"/>
    </row>
    <row r="21" spans="1:25">
      <c r="B21" s="303" t="s">
        <v>324</v>
      </c>
      <c r="C21" s="300">
        <v>203.13</v>
      </c>
      <c r="D21" s="300">
        <v>200</v>
      </c>
      <c r="E21" s="300">
        <v>245.6</v>
      </c>
      <c r="F21" s="300">
        <v>307.10000000000002</v>
      </c>
      <c r="G21" s="300">
        <v>334.44</v>
      </c>
      <c r="H21" s="300">
        <v>389.43662305000004</v>
      </c>
      <c r="I21" s="300">
        <v>454.85</v>
      </c>
      <c r="J21" s="300">
        <v>507.35294378999998</v>
      </c>
      <c r="K21" s="300">
        <v>519.62281583000004</v>
      </c>
      <c r="L21" s="300">
        <v>530.91999999999996</v>
      </c>
      <c r="M21" s="300">
        <v>507.92498334000004</v>
      </c>
      <c r="N21" s="300">
        <v>517.8954976</v>
      </c>
      <c r="O21" s="300">
        <v>536.4161904</v>
      </c>
      <c r="P21" s="300">
        <v>593.77689324999994</v>
      </c>
      <c r="Q21" s="300">
        <v>610.3756985</v>
      </c>
      <c r="R21" s="301">
        <v>639.78978093900002</v>
      </c>
      <c r="S21" s="301">
        <v>705.27325170581491</v>
      </c>
      <c r="T21" s="301">
        <v>799.81814665000002</v>
      </c>
      <c r="U21" s="301">
        <v>924.07736647844047</v>
      </c>
      <c r="V21" s="302">
        <v>499.5901055917052</v>
      </c>
      <c r="X21" s="9"/>
    </row>
    <row r="22" spans="1:25">
      <c r="B22" s="303" t="s">
        <v>325</v>
      </c>
      <c r="C22" s="300">
        <v>447.3</v>
      </c>
      <c r="D22" s="300">
        <v>309</v>
      </c>
      <c r="E22" s="300">
        <v>304.89999999999998</v>
      </c>
      <c r="F22" s="300">
        <v>299</v>
      </c>
      <c r="G22" s="300">
        <v>325.10000000000002</v>
      </c>
      <c r="H22" s="300">
        <v>310.61619615999996</v>
      </c>
      <c r="I22" s="300">
        <v>413.96</v>
      </c>
      <c r="J22" s="300">
        <v>504.45675947699999</v>
      </c>
      <c r="K22" s="300">
        <v>766.89701416000014</v>
      </c>
      <c r="L22" s="300">
        <v>745.13884247999988</v>
      </c>
      <c r="M22" s="300">
        <v>714.62770048100003</v>
      </c>
      <c r="N22" s="300">
        <v>968.23251246000007</v>
      </c>
      <c r="O22" s="300">
        <v>939.30703432299993</v>
      </c>
      <c r="P22" s="300">
        <v>854.16654865499993</v>
      </c>
      <c r="Q22" s="300">
        <v>805.99453491000008</v>
      </c>
      <c r="R22" s="301">
        <v>752.21827119900013</v>
      </c>
      <c r="S22" s="301">
        <v>519.44759501800002</v>
      </c>
      <c r="T22" s="301">
        <v>659.66424918000007</v>
      </c>
      <c r="U22" s="301">
        <v>754.01492710000002</v>
      </c>
      <c r="V22" s="302">
        <v>429.11996345900002</v>
      </c>
      <c r="X22" s="9"/>
    </row>
    <row r="23" spans="1:25">
      <c r="B23" s="299" t="s">
        <v>259</v>
      </c>
      <c r="C23" s="300">
        <f t="shared" ref="C23:Q23" si="18">+C24+C25</f>
        <v>436.16999999999996</v>
      </c>
      <c r="D23" s="300">
        <f t="shared" si="18"/>
        <v>619.69999999999993</v>
      </c>
      <c r="E23" s="300">
        <f t="shared" si="18"/>
        <v>706.19999999999993</v>
      </c>
      <c r="F23" s="300">
        <f t="shared" si="18"/>
        <v>549.5</v>
      </c>
      <c r="G23" s="300">
        <f t="shared" si="18"/>
        <v>369.11</v>
      </c>
      <c r="H23" s="300">
        <f t="shared" si="18"/>
        <v>481.25385794000005</v>
      </c>
      <c r="I23" s="300">
        <f t="shared" si="18"/>
        <v>579.44725712000002</v>
      </c>
      <c r="J23" s="300">
        <f t="shared" si="18"/>
        <v>568.27000211199993</v>
      </c>
      <c r="K23" s="300">
        <f t="shared" si="18"/>
        <v>661.72603530600009</v>
      </c>
      <c r="L23" s="300">
        <f t="shared" si="18"/>
        <v>643.09999999999991</v>
      </c>
      <c r="M23" s="300">
        <f t="shared" si="18"/>
        <v>677.79947604000006</v>
      </c>
      <c r="N23" s="300">
        <f t="shared" si="18"/>
        <v>668.75914183610007</v>
      </c>
      <c r="O23" s="300">
        <f t="shared" si="18"/>
        <v>783.87782826599994</v>
      </c>
      <c r="P23" s="300">
        <f t="shared" si="18"/>
        <v>789.99427508000008</v>
      </c>
      <c r="Q23" s="300">
        <f t="shared" si="18"/>
        <v>689.14632527250012</v>
      </c>
      <c r="R23" s="301">
        <f>R24+R25</f>
        <v>710.77146242888898</v>
      </c>
      <c r="S23" s="301">
        <f>S24+S25</f>
        <v>817.10795107432</v>
      </c>
      <c r="T23" s="301">
        <f>T24+T25</f>
        <v>743.54555069500009</v>
      </c>
      <c r="U23" s="301">
        <f>U24+U25</f>
        <v>888.54454919739408</v>
      </c>
      <c r="V23" s="302">
        <f>V24+V25</f>
        <v>427.76947637500001</v>
      </c>
      <c r="X23" s="9"/>
    </row>
    <row r="24" spans="1:25">
      <c r="B24" s="303" t="s">
        <v>260</v>
      </c>
      <c r="C24" s="300">
        <v>380.15</v>
      </c>
      <c r="D24" s="300">
        <v>602.29999999999995</v>
      </c>
      <c r="E24" s="300">
        <v>609.4</v>
      </c>
      <c r="F24" s="300">
        <v>541.6</v>
      </c>
      <c r="G24" s="300">
        <v>334.49</v>
      </c>
      <c r="H24" s="300">
        <v>429.55304949000003</v>
      </c>
      <c r="I24" s="300">
        <v>499.99725711999997</v>
      </c>
      <c r="J24" s="300">
        <v>477.47682097199993</v>
      </c>
      <c r="K24" s="300">
        <v>582.07054471600009</v>
      </c>
      <c r="L24" s="300">
        <v>581.29999999999995</v>
      </c>
      <c r="M24" s="300">
        <v>621.08586631000003</v>
      </c>
      <c r="N24" s="300">
        <v>619.11657995610005</v>
      </c>
      <c r="O24" s="300">
        <v>727.33075940599997</v>
      </c>
      <c r="P24" s="300">
        <v>726.49342327000011</v>
      </c>
      <c r="Q24" s="300">
        <v>624.59612042250012</v>
      </c>
      <c r="R24" s="301">
        <v>650.74734227888894</v>
      </c>
      <c r="S24" s="301">
        <v>757.73438844431996</v>
      </c>
      <c r="T24" s="301">
        <v>666.44801210500009</v>
      </c>
      <c r="U24" s="301">
        <v>821.07786130739407</v>
      </c>
      <c r="V24" s="302">
        <v>392.80389046499999</v>
      </c>
      <c r="X24" s="9"/>
    </row>
    <row r="25" spans="1:25">
      <c r="B25" s="303" t="s">
        <v>326</v>
      </c>
      <c r="C25" s="300">
        <v>56.02</v>
      </c>
      <c r="D25" s="300">
        <v>17.399999999999999</v>
      </c>
      <c r="E25" s="300">
        <v>96.8</v>
      </c>
      <c r="F25" s="300">
        <v>7.9</v>
      </c>
      <c r="G25" s="300">
        <v>34.619999999999997</v>
      </c>
      <c r="H25" s="300">
        <v>51.700808449999997</v>
      </c>
      <c r="I25" s="300">
        <v>79.45</v>
      </c>
      <c r="J25" s="300">
        <v>90.793181140000002</v>
      </c>
      <c r="K25" s="300">
        <v>79.655490590000014</v>
      </c>
      <c r="L25" s="300">
        <v>61.8</v>
      </c>
      <c r="M25" s="300">
        <v>56.713609729999995</v>
      </c>
      <c r="N25" s="300">
        <v>49.642561880000002</v>
      </c>
      <c r="O25" s="300">
        <v>56.547068859999996</v>
      </c>
      <c r="P25" s="300">
        <v>63.50085181</v>
      </c>
      <c r="Q25" s="300">
        <v>64.55020485</v>
      </c>
      <c r="R25" s="301">
        <v>60.024120150000009</v>
      </c>
      <c r="S25" s="301">
        <v>59.373562629999988</v>
      </c>
      <c r="T25" s="301">
        <v>77.097538589999985</v>
      </c>
      <c r="U25" s="301">
        <v>67.466687890000003</v>
      </c>
      <c r="V25" s="302">
        <v>34.965585909999994</v>
      </c>
      <c r="X25" s="9"/>
      <c r="Y25" s="9"/>
    </row>
    <row r="26" spans="1:25">
      <c r="B26" s="299" t="s">
        <v>327</v>
      </c>
      <c r="C26" s="300">
        <v>-0.25</v>
      </c>
      <c r="D26" s="300">
        <v>0.2</v>
      </c>
      <c r="E26" s="300">
        <v>-0.3</v>
      </c>
      <c r="F26" s="300">
        <v>-0.6</v>
      </c>
      <c r="G26" s="300">
        <v>-0.39</v>
      </c>
      <c r="H26" s="300">
        <v>-1.3736556900000001</v>
      </c>
      <c r="I26" s="300">
        <v>-0.79</v>
      </c>
      <c r="J26" s="300">
        <v>-0.83903132000000014</v>
      </c>
      <c r="K26" s="300">
        <v>-0.61389536</v>
      </c>
      <c r="L26" s="300">
        <v>-0.9</v>
      </c>
      <c r="M26" s="300">
        <v>-0.50334646999999999</v>
      </c>
      <c r="N26" s="300">
        <v>-0.29366611999999997</v>
      </c>
      <c r="O26" s="300">
        <v>-0.46740820000000005</v>
      </c>
      <c r="P26" s="300">
        <v>-0.57397767</v>
      </c>
      <c r="Q26" s="300">
        <v>-0.47314188999999995</v>
      </c>
      <c r="R26" s="301">
        <v>-0.23592219</v>
      </c>
      <c r="S26" s="301">
        <v>-0.47550159000000003</v>
      </c>
      <c r="T26" s="301">
        <v>-0.36765807</v>
      </c>
      <c r="U26" s="301">
        <v>-0.16770608000000001</v>
      </c>
      <c r="V26" s="302">
        <v>-1.2425530000000001E-2</v>
      </c>
      <c r="X26" s="9"/>
      <c r="Y26" s="9"/>
    </row>
    <row r="27" spans="1:25" ht="24.95" customHeight="1">
      <c r="B27" s="295" t="s">
        <v>269</v>
      </c>
      <c r="C27" s="296">
        <f t="shared" ref="C27:S27" si="19">C9-C17</f>
        <v>-80.170000000000073</v>
      </c>
      <c r="D27" s="296">
        <f t="shared" si="19"/>
        <v>58.300000000000182</v>
      </c>
      <c r="E27" s="296">
        <f t="shared" si="19"/>
        <v>116.19999999999982</v>
      </c>
      <c r="F27" s="296">
        <f t="shared" si="19"/>
        <v>168.5</v>
      </c>
      <c r="G27" s="296">
        <f t="shared" si="19"/>
        <v>217.48999999999978</v>
      </c>
      <c r="H27" s="296">
        <f t="shared" si="19"/>
        <v>246.92063381099979</v>
      </c>
      <c r="I27" s="296">
        <f t="shared" si="19"/>
        <v>341.02799999999979</v>
      </c>
      <c r="J27" s="296">
        <f t="shared" si="19"/>
        <v>429.23229507528913</v>
      </c>
      <c r="K27" s="296">
        <f t="shared" si="19"/>
        <v>245.32598607599857</v>
      </c>
      <c r="L27" s="296">
        <f t="shared" si="19"/>
        <v>-291.75884248000011</v>
      </c>
      <c r="M27" s="296">
        <f t="shared" si="19"/>
        <v>-47.225276471535835</v>
      </c>
      <c r="N27" s="296">
        <f t="shared" si="19"/>
        <v>-46.571086705199377</v>
      </c>
      <c r="O27" s="296">
        <f t="shared" si="19"/>
        <v>210.69878103799965</v>
      </c>
      <c r="P27" s="296">
        <f t="shared" si="19"/>
        <v>181.45954225680089</v>
      </c>
      <c r="Q27" s="296">
        <f t="shared" si="19"/>
        <v>202.3272077574984</v>
      </c>
      <c r="R27" s="297">
        <f t="shared" si="19"/>
        <v>291.71359308770843</v>
      </c>
      <c r="S27" s="297">
        <f t="shared" si="19"/>
        <v>540.25104168418602</v>
      </c>
      <c r="T27" s="297">
        <f t="shared" ref="T27:U27" si="20">T9-T17</f>
        <v>627.07647308899959</v>
      </c>
      <c r="U27" s="297">
        <f t="shared" si="20"/>
        <v>499.49837642022339</v>
      </c>
      <c r="V27" s="298">
        <f t="shared" ref="V27" si="21">V9-V17</f>
        <v>453.38670110579415</v>
      </c>
      <c r="X27" s="9"/>
      <c r="Y27" s="9"/>
    </row>
    <row r="28" spans="1:25" ht="24.75" customHeight="1">
      <c r="B28" s="307" t="s">
        <v>735</v>
      </c>
      <c r="C28" s="297"/>
      <c r="D28" s="297"/>
      <c r="E28" s="297"/>
      <c r="F28" s="297"/>
      <c r="G28" s="297"/>
      <c r="H28" s="297"/>
      <c r="I28" s="297"/>
      <c r="J28" s="297"/>
      <c r="K28" s="297"/>
      <c r="L28" s="297"/>
      <c r="M28" s="297"/>
      <c r="N28" s="297"/>
      <c r="O28" s="297"/>
      <c r="P28" s="297"/>
      <c r="Q28" s="297"/>
      <c r="R28" s="297"/>
      <c r="S28" s="297"/>
      <c r="T28" s="297"/>
      <c r="U28" s="297"/>
      <c r="V28" s="298"/>
      <c r="X28" s="9"/>
      <c r="Y28" s="9"/>
    </row>
    <row r="29" spans="1:25" ht="18" customHeight="1">
      <c r="A29" s="55"/>
      <c r="B29" s="342" t="s">
        <v>733</v>
      </c>
      <c r="C29" s="297">
        <f t="shared" ref="C29:N29" si="22">C32+C21</f>
        <v>-195.36000000000024</v>
      </c>
      <c r="D29" s="297">
        <f t="shared" si="22"/>
        <v>-302.99999999999955</v>
      </c>
      <c r="E29" s="297">
        <f t="shared" si="22"/>
        <v>-229.39999999999955</v>
      </c>
      <c r="F29" s="297">
        <f t="shared" si="22"/>
        <v>-3.2000000000001592</v>
      </c>
      <c r="G29" s="297">
        <f t="shared" si="22"/>
        <v>231.64999999999958</v>
      </c>
      <c r="H29" s="297">
        <f t="shared" si="22"/>
        <v>208.74976868099981</v>
      </c>
      <c r="I29" s="297">
        <f t="shared" si="22"/>
        <v>258.56857823999974</v>
      </c>
      <c r="J29" s="297">
        <f t="shared" si="22"/>
        <v>431.50873937328907</v>
      </c>
      <c r="K29" s="297">
        <f t="shared" si="22"/>
        <v>156.8119474999985</v>
      </c>
      <c r="L29" s="297">
        <f t="shared" si="22"/>
        <v>-294.2388424800007</v>
      </c>
      <c r="M29" s="297">
        <f t="shared" si="22"/>
        <v>-51.936940851535724</v>
      </c>
      <c r="N29" s="297">
        <f t="shared" si="22"/>
        <v>16.891648398700909</v>
      </c>
      <c r="O29" s="297">
        <f>O32+O21</f>
        <v>141.86179133200017</v>
      </c>
      <c r="P29" s="297">
        <f>P32+P21</f>
        <v>56.647391106801138</v>
      </c>
      <c r="Q29" s="297">
        <f t="shared" ref="Q29:U29" si="23">Q32+Q21</f>
        <v>170.38934102499934</v>
      </c>
      <c r="R29" s="297">
        <f t="shared" si="23"/>
        <v>273.75009792781873</v>
      </c>
      <c r="S29" s="297">
        <f t="shared" si="23"/>
        <v>474.85721757568092</v>
      </c>
      <c r="T29" s="297">
        <f t="shared" si="23"/>
        <v>727.9572563239999</v>
      </c>
      <c r="U29" s="297">
        <f t="shared" si="23"/>
        <v>595.63029758126993</v>
      </c>
      <c r="V29" s="298">
        <f t="shared" ref="V29" si="24">V32+V21</f>
        <v>574.91737585249939</v>
      </c>
      <c r="X29" s="9"/>
      <c r="Y29" s="9"/>
    </row>
    <row r="30" spans="1:25" ht="18" customHeight="1">
      <c r="A30" s="55"/>
      <c r="B30" s="342" t="s">
        <v>734</v>
      </c>
      <c r="C30" s="297">
        <f t="shared" ref="C30" si="25">C29-C51</f>
        <v>-195.36000000000024</v>
      </c>
      <c r="D30" s="297">
        <f t="shared" ref="D30" si="26">D29-D51</f>
        <v>-405.69999999999953</v>
      </c>
      <c r="E30" s="297">
        <f t="shared" ref="E30" si="27">E29-E51</f>
        <v>-386.79999999999956</v>
      </c>
      <c r="F30" s="297">
        <f t="shared" ref="F30" si="28">F29-F51</f>
        <v>-252.90000000000015</v>
      </c>
      <c r="G30" s="297">
        <f t="shared" ref="G30" si="29">G29-G51</f>
        <v>-44.850000000000421</v>
      </c>
      <c r="H30" s="297">
        <f t="shared" ref="H30" si="30">H29-H51</f>
        <v>-118.35023131900022</v>
      </c>
      <c r="I30" s="297">
        <f t="shared" ref="I30" si="31">I29-I51</f>
        <v>-90.831421760000296</v>
      </c>
      <c r="J30" s="297">
        <f t="shared" ref="J30" si="32">J29-J51</f>
        <v>112.20873937328906</v>
      </c>
      <c r="K30" s="297">
        <f t="shared" ref="K30" si="33">K29-K51</f>
        <v>-163.88805250000149</v>
      </c>
      <c r="L30" s="297">
        <f t="shared" ref="L30:N30" si="34">L29-L51</f>
        <v>-640.2388424800007</v>
      </c>
      <c r="M30" s="297">
        <f t="shared" si="34"/>
        <v>-409.0766684715357</v>
      </c>
      <c r="N30" s="297">
        <f t="shared" si="34"/>
        <v>-388.69724094129907</v>
      </c>
      <c r="O30" s="297">
        <f t="shared" ref="O30:U30" si="35">O29-O51</f>
        <v>-277.43820866799985</v>
      </c>
      <c r="P30" s="297">
        <f t="shared" si="35"/>
        <v>-385.62284786319884</v>
      </c>
      <c r="Q30" s="297">
        <f t="shared" si="35"/>
        <v>-296.59663588700073</v>
      </c>
      <c r="R30" s="297">
        <f t="shared" si="35"/>
        <v>-211.46012970218123</v>
      </c>
      <c r="S30" s="297">
        <f t="shared" si="35"/>
        <v>-45.027127454319157</v>
      </c>
      <c r="T30" s="297">
        <f t="shared" si="35"/>
        <v>167.57031401399991</v>
      </c>
      <c r="U30" s="297">
        <f t="shared" si="35"/>
        <v>229.63279971126991</v>
      </c>
      <c r="V30" s="298">
        <f t="shared" ref="V30" si="36">V29-V51</f>
        <v>411.5488655924994</v>
      </c>
      <c r="X30" s="9"/>
      <c r="Y30" s="9"/>
    </row>
    <row r="31" spans="1:25" ht="24.75" customHeight="1">
      <c r="B31" s="308" t="s">
        <v>328</v>
      </c>
      <c r="C31" s="308"/>
      <c r="D31" s="309"/>
      <c r="E31" s="309"/>
      <c r="F31" s="309"/>
      <c r="G31" s="309"/>
      <c r="H31" s="309"/>
      <c r="I31" s="309"/>
      <c r="J31" s="309"/>
      <c r="K31" s="309"/>
      <c r="L31" s="309"/>
      <c r="M31" s="293"/>
      <c r="N31" s="293"/>
      <c r="O31" s="293"/>
      <c r="P31" s="293"/>
      <c r="Q31" s="293"/>
      <c r="R31" s="310"/>
      <c r="S31" s="310"/>
      <c r="T31" s="310"/>
      <c r="U31" s="310"/>
      <c r="V31" s="311"/>
      <c r="X31" s="9"/>
      <c r="Y31" s="9"/>
    </row>
    <row r="32" spans="1:25" ht="18" customHeight="1">
      <c r="B32" s="312" t="s">
        <v>329</v>
      </c>
      <c r="C32" s="296">
        <f t="shared" ref="C32:S32" si="37">C8-C16</f>
        <v>-398.49000000000024</v>
      </c>
      <c r="D32" s="296">
        <f t="shared" si="37"/>
        <v>-502.99999999999955</v>
      </c>
      <c r="E32" s="296">
        <f t="shared" si="37"/>
        <v>-474.99999999999955</v>
      </c>
      <c r="F32" s="296">
        <f t="shared" si="37"/>
        <v>-310.30000000000018</v>
      </c>
      <c r="G32" s="296">
        <f t="shared" si="37"/>
        <v>-102.79000000000042</v>
      </c>
      <c r="H32" s="296">
        <f t="shared" si="37"/>
        <v>-180.68685436900023</v>
      </c>
      <c r="I32" s="296">
        <f t="shared" si="37"/>
        <v>-196.28142176000028</v>
      </c>
      <c r="J32" s="296">
        <f t="shared" si="37"/>
        <v>-75.844204416710909</v>
      </c>
      <c r="K32" s="296">
        <f t="shared" si="37"/>
        <v>-362.81086833000154</v>
      </c>
      <c r="L32" s="296">
        <f t="shared" si="37"/>
        <v>-825.15884248000066</v>
      </c>
      <c r="M32" s="296">
        <f t="shared" si="37"/>
        <v>-559.86192419153576</v>
      </c>
      <c r="N32" s="296">
        <f t="shared" si="37"/>
        <v>-501.00384920129909</v>
      </c>
      <c r="O32" s="296">
        <f t="shared" si="37"/>
        <v>-394.55439906799984</v>
      </c>
      <c r="P32" s="296">
        <f t="shared" si="37"/>
        <v>-537.12950214319881</v>
      </c>
      <c r="Q32" s="296">
        <f t="shared" si="37"/>
        <v>-439.98635747500066</v>
      </c>
      <c r="R32" s="297">
        <f t="shared" si="37"/>
        <v>-366.0396830111813</v>
      </c>
      <c r="S32" s="297">
        <f t="shared" si="37"/>
        <v>-230.41603413013399</v>
      </c>
      <c r="T32" s="297">
        <f t="shared" ref="T32:U32" si="38">T8-T16</f>
        <v>-71.860890326000117</v>
      </c>
      <c r="U32" s="297">
        <f t="shared" si="38"/>
        <v>-328.44706889717054</v>
      </c>
      <c r="V32" s="298">
        <f t="shared" ref="V32" si="39">V8-V16</f>
        <v>75.327270260794194</v>
      </c>
      <c r="X32" s="9"/>
      <c r="Y32" s="750"/>
    </row>
    <row r="33" spans="2:30" ht="18" customHeight="1">
      <c r="B33" s="312" t="s">
        <v>330</v>
      </c>
      <c r="C33" s="296">
        <f t="shared" ref="C33:S33" si="40">C32-C15</f>
        <v>-508.49000000000024</v>
      </c>
      <c r="D33" s="296">
        <f t="shared" si="40"/>
        <v>-560.39999999999952</v>
      </c>
      <c r="E33" s="296">
        <f t="shared" si="40"/>
        <v>-524.7999999999995</v>
      </c>
      <c r="F33" s="296">
        <f t="shared" si="40"/>
        <v>-380.00000000000017</v>
      </c>
      <c r="G33" s="296">
        <f t="shared" si="40"/>
        <v>-151.13000000000042</v>
      </c>
      <c r="H33" s="296">
        <f t="shared" si="40"/>
        <v>-232.82332743900022</v>
      </c>
      <c r="I33" s="296">
        <f t="shared" si="40"/>
        <v>-237.58025712000028</v>
      </c>
      <c r="J33" s="296">
        <f t="shared" si="40"/>
        <v>-138.18494986671089</v>
      </c>
      <c r="K33" s="296">
        <f t="shared" si="40"/>
        <v>-415.69167958000156</v>
      </c>
      <c r="L33" s="296">
        <f t="shared" si="40"/>
        <v>-933.95884248000061</v>
      </c>
      <c r="M33" s="296">
        <f t="shared" si="40"/>
        <v>-724.29020575153572</v>
      </c>
      <c r="N33" s="296">
        <f t="shared" si="40"/>
        <v>-714.87357055129905</v>
      </c>
      <c r="O33" s="296">
        <f t="shared" si="40"/>
        <v>-572.5349060279998</v>
      </c>
      <c r="P33" s="296">
        <f t="shared" si="40"/>
        <v>-607.9502011531988</v>
      </c>
      <c r="Q33" s="296">
        <f t="shared" si="40"/>
        <v>-486.30914702500064</v>
      </c>
      <c r="R33" s="297">
        <f t="shared" si="40"/>
        <v>-418.82194715118129</v>
      </c>
      <c r="S33" s="297">
        <f t="shared" si="40"/>
        <v>-276.31190516013402</v>
      </c>
      <c r="T33" s="297">
        <f t="shared" ref="T33:U33" si="41">T32-T15</f>
        <v>-116.10141953600012</v>
      </c>
      <c r="U33" s="297">
        <f t="shared" si="41"/>
        <v>-388.87846669717055</v>
      </c>
      <c r="V33" s="298">
        <f t="shared" ref="V33" si="42">V32-V15</f>
        <v>25.6296502607942</v>
      </c>
      <c r="X33" s="9"/>
      <c r="Y33" s="9"/>
    </row>
    <row r="34" spans="2:30" ht="18" customHeight="1">
      <c r="B34" s="312" t="s">
        <v>331</v>
      </c>
      <c r="C34" s="296">
        <f t="shared" ref="C34:S34" si="43">C32-C51</f>
        <v>-398.49000000000024</v>
      </c>
      <c r="D34" s="296">
        <f t="shared" si="43"/>
        <v>-605.69999999999959</v>
      </c>
      <c r="E34" s="296">
        <f t="shared" si="43"/>
        <v>-632.39999999999952</v>
      </c>
      <c r="F34" s="296">
        <f t="shared" si="43"/>
        <v>-560.00000000000023</v>
      </c>
      <c r="G34" s="296">
        <f t="shared" si="43"/>
        <v>-379.29000000000042</v>
      </c>
      <c r="H34" s="296">
        <f t="shared" si="43"/>
        <v>-507.78685436900025</v>
      </c>
      <c r="I34" s="296">
        <f t="shared" si="43"/>
        <v>-545.68142176000038</v>
      </c>
      <c r="J34" s="296">
        <f t="shared" si="43"/>
        <v>-395.14420441671092</v>
      </c>
      <c r="K34" s="296">
        <f t="shared" si="43"/>
        <v>-683.51086833000159</v>
      </c>
      <c r="L34" s="296">
        <f t="shared" si="43"/>
        <v>-1171.1588424800007</v>
      </c>
      <c r="M34" s="296">
        <f t="shared" si="43"/>
        <v>-917.00165181153579</v>
      </c>
      <c r="N34" s="296">
        <f t="shared" si="43"/>
        <v>-906.59273854129901</v>
      </c>
      <c r="O34" s="296">
        <f t="shared" si="43"/>
        <v>-813.85439906799979</v>
      </c>
      <c r="P34" s="296">
        <f t="shared" si="43"/>
        <v>-979.39974111319884</v>
      </c>
      <c r="Q34" s="296">
        <f>Q32-Q51</f>
        <v>-906.97233438700073</v>
      </c>
      <c r="R34" s="297">
        <f t="shared" si="43"/>
        <v>-851.24991064118126</v>
      </c>
      <c r="S34" s="297">
        <f t="shared" si="43"/>
        <v>-750.30037916013407</v>
      </c>
      <c r="T34" s="297">
        <f t="shared" ref="T34:U34" si="44">T32-T51</f>
        <v>-632.24783263600011</v>
      </c>
      <c r="U34" s="297">
        <f t="shared" si="44"/>
        <v>-694.4445667671705</v>
      </c>
      <c r="V34" s="298">
        <f t="shared" ref="V34" si="45">V32-V51</f>
        <v>-88.0412399992058</v>
      </c>
      <c r="X34" s="9"/>
      <c r="Y34" s="750">
        <f t="shared" ref="Y34:AD34" si="46">+Q34+Q21</f>
        <v>-296.59663588700073</v>
      </c>
      <c r="Z34" s="313">
        <f t="shared" si="46"/>
        <v>-211.46012970218123</v>
      </c>
      <c r="AA34" s="313">
        <f t="shared" si="46"/>
        <v>-45.027127454319157</v>
      </c>
      <c r="AB34" s="313">
        <f t="shared" si="46"/>
        <v>167.57031401399991</v>
      </c>
      <c r="AC34" s="313">
        <f t="shared" si="46"/>
        <v>229.63279971126997</v>
      </c>
      <c r="AD34" s="313">
        <f t="shared" si="46"/>
        <v>411.5488655924994</v>
      </c>
    </row>
    <row r="35" spans="2:30" ht="24.95" customHeight="1">
      <c r="B35" s="295" t="s">
        <v>332</v>
      </c>
      <c r="C35" s="296">
        <f t="shared" ref="C35:L35" si="47">SUM(C36:C37)</f>
        <v>199.90000000000003</v>
      </c>
      <c r="D35" s="296">
        <f t="shared" si="47"/>
        <v>614.9</v>
      </c>
      <c r="E35" s="296">
        <f t="shared" si="47"/>
        <v>1253.5</v>
      </c>
      <c r="F35" s="296">
        <f t="shared" si="47"/>
        <v>432.1</v>
      </c>
      <c r="G35" s="296">
        <f t="shared" si="47"/>
        <v>241.60000000000002</v>
      </c>
      <c r="H35" s="296">
        <f t="shared" si="47"/>
        <v>342.58685098000001</v>
      </c>
      <c r="I35" s="296">
        <f t="shared" si="47"/>
        <v>496.97899999999993</v>
      </c>
      <c r="J35" s="296">
        <f t="shared" si="47"/>
        <v>-115.01906200000002</v>
      </c>
      <c r="K35" s="296">
        <f t="shared" si="47"/>
        <v>126.82887132999997</v>
      </c>
      <c r="L35" s="296">
        <f t="shared" si="47"/>
        <v>785.1</v>
      </c>
      <c r="M35" s="296">
        <f t="shared" ref="M35:S35" si="48">SUM(M36:M37)</f>
        <v>274.08093022999992</v>
      </c>
      <c r="N35" s="296">
        <f t="shared" si="48"/>
        <v>121.14979300999983</v>
      </c>
      <c r="O35" s="296">
        <f t="shared" si="48"/>
        <v>912.33028906000004</v>
      </c>
      <c r="P35" s="296">
        <f t="shared" si="48"/>
        <v>12.663650140000072</v>
      </c>
      <c r="Q35" s="296">
        <f t="shared" si="48"/>
        <v>787.7742495</v>
      </c>
      <c r="R35" s="297">
        <f t="shared" si="48"/>
        <v>-13.146288420000019</v>
      </c>
      <c r="S35" s="297">
        <f t="shared" si="48"/>
        <v>118.93213997999999</v>
      </c>
      <c r="T35" s="297">
        <f t="shared" ref="T35:U35" si="49">SUM(T36:T37)</f>
        <v>373.47886050000022</v>
      </c>
      <c r="U35" s="297">
        <f t="shared" si="49"/>
        <v>134.93545037000001</v>
      </c>
      <c r="V35" s="298">
        <f t="shared" ref="V35" si="50">SUM(V36:V37)</f>
        <v>-105.39025577</v>
      </c>
      <c r="X35" s="9"/>
      <c r="Y35" s="9"/>
    </row>
    <row r="36" spans="2:30">
      <c r="B36" s="299" t="s">
        <v>276</v>
      </c>
      <c r="C36" s="300">
        <v>411.6</v>
      </c>
      <c r="D36" s="300">
        <v>964</v>
      </c>
      <c r="E36" s="300">
        <v>1758.6</v>
      </c>
      <c r="F36" s="300">
        <v>610.1</v>
      </c>
      <c r="G36" s="300">
        <v>626.20000000000005</v>
      </c>
      <c r="H36" s="300">
        <v>727.44981000000007</v>
      </c>
      <c r="I36" s="300">
        <v>901.09799999999996</v>
      </c>
      <c r="J36" s="300">
        <v>205.2869</v>
      </c>
      <c r="K36" s="300">
        <v>426.86348957999996</v>
      </c>
      <c r="L36" s="300">
        <v>1076.2</v>
      </c>
      <c r="M36" s="300">
        <v>584.16854999999998</v>
      </c>
      <c r="N36" s="300">
        <v>1066.9514985199999</v>
      </c>
      <c r="O36" s="300">
        <v>1201.7621770000001</v>
      </c>
      <c r="P36" s="300">
        <v>269.06002047000004</v>
      </c>
      <c r="Q36" s="300">
        <v>1058.8100722199999</v>
      </c>
      <c r="R36" s="301">
        <v>332.20816833999999</v>
      </c>
      <c r="S36" s="301">
        <v>614.54141964999997</v>
      </c>
      <c r="T36" s="301">
        <v>1023.4993571200002</v>
      </c>
      <c r="U36" s="301">
        <v>645.67341900999998</v>
      </c>
      <c r="V36" s="302">
        <v>49.763848820000007</v>
      </c>
      <c r="X36" s="9"/>
      <c r="Y36" s="9"/>
    </row>
    <row r="37" spans="2:30">
      <c r="B37" s="299" t="s">
        <v>277</v>
      </c>
      <c r="C37" s="300">
        <v>-211.7</v>
      </c>
      <c r="D37" s="300">
        <v>-349.1</v>
      </c>
      <c r="E37" s="300">
        <v>-505.1</v>
      </c>
      <c r="F37" s="300">
        <v>-178</v>
      </c>
      <c r="G37" s="300">
        <v>-384.6</v>
      </c>
      <c r="H37" s="300">
        <v>-384.86295902000006</v>
      </c>
      <c r="I37" s="300">
        <v>-404.11900000000003</v>
      </c>
      <c r="J37" s="300">
        <v>-320.30596200000002</v>
      </c>
      <c r="K37" s="300">
        <v>-300.03461824999999</v>
      </c>
      <c r="L37" s="300">
        <v>-291.10000000000002</v>
      </c>
      <c r="M37" s="300">
        <v>-310.08761977000006</v>
      </c>
      <c r="N37" s="300">
        <v>-945.80170551000003</v>
      </c>
      <c r="O37" s="300">
        <v>-289.43188794000002</v>
      </c>
      <c r="P37" s="300">
        <v>-256.39637032999997</v>
      </c>
      <c r="Q37" s="300">
        <v>-271.03582272</v>
      </c>
      <c r="R37" s="301">
        <v>-345.35445676000001</v>
      </c>
      <c r="S37" s="301">
        <v>-495.60927966999998</v>
      </c>
      <c r="T37" s="301">
        <v>-650.02049662000002</v>
      </c>
      <c r="U37" s="301">
        <v>-510.73796863999996</v>
      </c>
      <c r="V37" s="302">
        <v>-155.15410459</v>
      </c>
      <c r="X37" s="9"/>
      <c r="Y37" s="9"/>
    </row>
    <row r="38" spans="2:30" ht="24.95" customHeight="1">
      <c r="B38" s="295" t="s">
        <v>333</v>
      </c>
      <c r="C38" s="296">
        <f t="shared" ref="C38:S38" si="51">SUM(C39:C45)</f>
        <v>198.6</v>
      </c>
      <c r="D38" s="296">
        <f t="shared" si="51"/>
        <v>-111.89999999999999</v>
      </c>
      <c r="E38" s="296">
        <f t="shared" si="51"/>
        <v>-778.5</v>
      </c>
      <c r="F38" s="296">
        <f t="shared" si="51"/>
        <v>-121.79999999999998</v>
      </c>
      <c r="G38" s="296">
        <f t="shared" si="51"/>
        <v>-138.82000000000002</v>
      </c>
      <c r="H38" s="296">
        <f t="shared" si="51"/>
        <v>-161.61897287100066</v>
      </c>
      <c r="I38" s="296">
        <f t="shared" si="51"/>
        <v>-300.70203743400015</v>
      </c>
      <c r="J38" s="296">
        <f t="shared" si="51"/>
        <v>165.1632664167102</v>
      </c>
      <c r="K38" s="296">
        <f t="shared" si="51"/>
        <v>98.381997000000268</v>
      </c>
      <c r="L38" s="296">
        <f t="shared" si="51"/>
        <v>40.060000000000016</v>
      </c>
      <c r="M38" s="296">
        <f t="shared" si="51"/>
        <v>285.78099396153607</v>
      </c>
      <c r="N38" s="296">
        <f t="shared" si="51"/>
        <v>379.85405619129983</v>
      </c>
      <c r="O38" s="296">
        <f t="shared" si="51"/>
        <v>-517.77558999200016</v>
      </c>
      <c r="P38" s="296">
        <f t="shared" si="51"/>
        <v>524.46585200319953</v>
      </c>
      <c r="Q38" s="296">
        <f t="shared" si="51"/>
        <v>-347.78789202499848</v>
      </c>
      <c r="R38" s="297">
        <f t="shared" si="51"/>
        <v>379.18597143117984</v>
      </c>
      <c r="S38" s="297">
        <f t="shared" si="51"/>
        <v>111.48389415013455</v>
      </c>
      <c r="T38" s="297">
        <f t="shared" ref="T38:U38" si="52">SUM(T39:T45)</f>
        <v>-301.61797017399988</v>
      </c>
      <c r="U38" s="297">
        <f t="shared" si="52"/>
        <v>193.51161852717087</v>
      </c>
      <c r="V38" s="298">
        <f t="shared" ref="V38" si="53">SUM(V39:V45)</f>
        <v>30.062985509206214</v>
      </c>
      <c r="X38" s="9"/>
      <c r="Y38" s="9"/>
    </row>
    <row r="39" spans="2:30">
      <c r="B39" s="299" t="s">
        <v>279</v>
      </c>
      <c r="C39" s="300">
        <v>180.8</v>
      </c>
      <c r="D39" s="300">
        <v>20.3</v>
      </c>
      <c r="E39" s="300">
        <v>-42.1</v>
      </c>
      <c r="F39" s="300">
        <v>218.6</v>
      </c>
      <c r="G39" s="300">
        <v>-65.06</v>
      </c>
      <c r="H39" s="300">
        <v>77.495999999999995</v>
      </c>
      <c r="I39" s="300">
        <v>-47.438999999999936</v>
      </c>
      <c r="J39" s="300">
        <v>146.17200000000003</v>
      </c>
      <c r="K39" s="300">
        <v>25.893200000000007</v>
      </c>
      <c r="L39" s="300">
        <v>-293.5</v>
      </c>
      <c r="M39" s="300">
        <v>273.94400000000007</v>
      </c>
      <c r="N39" s="300">
        <v>200.1720033200001</v>
      </c>
      <c r="O39" s="300">
        <v>-739.211004</v>
      </c>
      <c r="P39" s="300">
        <v>757.73885714999983</v>
      </c>
      <c r="Q39" s="300">
        <v>-5.0958428500000075</v>
      </c>
      <c r="R39" s="301">
        <v>23.749857150000025</v>
      </c>
      <c r="S39" s="301">
        <v>-116.51564594499999</v>
      </c>
      <c r="T39" s="301">
        <v>15.340000000000046</v>
      </c>
      <c r="U39" s="301">
        <v>-29.014411049999978</v>
      </c>
      <c r="V39" s="302">
        <v>-204.01300000000003</v>
      </c>
      <c r="X39" s="9"/>
      <c r="Y39" s="9"/>
    </row>
    <row r="40" spans="2:30">
      <c r="B40" s="299" t="s">
        <v>282</v>
      </c>
      <c r="C40" s="300">
        <v>-18.399999999999999</v>
      </c>
      <c r="D40" s="300">
        <v>208.7</v>
      </c>
      <c r="E40" s="300">
        <v>-346.3</v>
      </c>
      <c r="F40" s="300">
        <v>-54.1</v>
      </c>
      <c r="G40" s="300">
        <v>14.24</v>
      </c>
      <c r="H40" s="300">
        <v>-12.740199380000004</v>
      </c>
      <c r="I40" s="300">
        <v>77.88400458000001</v>
      </c>
      <c r="J40" s="300">
        <v>43.298089460000021</v>
      </c>
      <c r="K40" s="300">
        <v>92.713442652999973</v>
      </c>
      <c r="L40" s="300">
        <v>239.32</v>
      </c>
      <c r="M40" s="300">
        <v>-66.878015450000035</v>
      </c>
      <c r="N40" s="300">
        <v>163.46443034000004</v>
      </c>
      <c r="O40" s="300">
        <v>162.19706653999998</v>
      </c>
      <c r="P40" s="300">
        <v>-170.68043720999992</v>
      </c>
      <c r="Q40" s="300">
        <v>-267.46243201999994</v>
      </c>
      <c r="R40" s="301">
        <v>276.8375646400001</v>
      </c>
      <c r="S40" s="301">
        <v>71.766111330000058</v>
      </c>
      <c r="T40" s="301">
        <v>-286.30999318000011</v>
      </c>
      <c r="U40" s="301">
        <v>131.54050422000009</v>
      </c>
      <c r="V40" s="302">
        <v>19.295978789999936</v>
      </c>
      <c r="X40" s="9"/>
      <c r="Y40" s="9"/>
    </row>
    <row r="41" spans="2:30">
      <c r="B41" s="299" t="s">
        <v>283</v>
      </c>
      <c r="C41" s="300">
        <v>-95.8</v>
      </c>
      <c r="D41" s="300">
        <v>0</v>
      </c>
      <c r="E41" s="300">
        <v>0</v>
      </c>
      <c r="F41" s="300">
        <v>0</v>
      </c>
      <c r="G41" s="300">
        <v>0</v>
      </c>
      <c r="H41" s="300">
        <v>0</v>
      </c>
      <c r="I41" s="300">
        <v>0</v>
      </c>
      <c r="J41" s="300">
        <v>0</v>
      </c>
      <c r="K41" s="300">
        <v>0</v>
      </c>
      <c r="L41" s="300">
        <v>0</v>
      </c>
      <c r="M41" s="300">
        <v>0</v>
      </c>
      <c r="N41" s="300">
        <v>0</v>
      </c>
      <c r="O41" s="300">
        <v>0</v>
      </c>
      <c r="P41" s="300">
        <v>0</v>
      </c>
      <c r="Q41" s="300">
        <v>0</v>
      </c>
      <c r="R41" s="301">
        <v>0</v>
      </c>
      <c r="S41" s="301">
        <v>0</v>
      </c>
      <c r="T41" s="301">
        <v>-3.0365499300000001</v>
      </c>
      <c r="U41" s="301">
        <v>0</v>
      </c>
      <c r="V41" s="302">
        <v>0</v>
      </c>
      <c r="X41" s="9"/>
      <c r="Y41" s="9"/>
    </row>
    <row r="42" spans="2:30">
      <c r="B42" s="299" t="s">
        <v>284</v>
      </c>
      <c r="C42" s="300">
        <v>61.4</v>
      </c>
      <c r="D42" s="300">
        <v>-123.6</v>
      </c>
      <c r="E42" s="300">
        <v>-89.8</v>
      </c>
      <c r="F42" s="300">
        <v>-1.7</v>
      </c>
      <c r="G42" s="300">
        <v>-7.1</v>
      </c>
      <c r="H42" s="300">
        <v>121.8107205</v>
      </c>
      <c r="I42" s="300">
        <v>-18.529007450000005</v>
      </c>
      <c r="J42" s="300">
        <v>-23.612368759999995</v>
      </c>
      <c r="K42" s="300">
        <v>49.211388809999995</v>
      </c>
      <c r="L42" s="300">
        <v>401.1</v>
      </c>
      <c r="M42" s="300">
        <v>460.94407416000001</v>
      </c>
      <c r="N42" s="300">
        <v>428.73797665999996</v>
      </c>
      <c r="O42" s="300">
        <v>461.74607421999997</v>
      </c>
      <c r="P42" s="300">
        <v>359.52570732999993</v>
      </c>
      <c r="Q42" s="300">
        <v>394.27605388200004</v>
      </c>
      <c r="R42" s="301">
        <v>606.63289638200013</v>
      </c>
      <c r="S42" s="301">
        <v>607.17556422999996</v>
      </c>
      <c r="T42" s="301">
        <v>530.99441004000005</v>
      </c>
      <c r="U42" s="301">
        <v>472.77067570851995</v>
      </c>
      <c r="V42" s="302">
        <v>322.75027263999993</v>
      </c>
      <c r="X42" s="9"/>
      <c r="Y42" s="9"/>
    </row>
    <row r="43" spans="2:30">
      <c r="B43" s="299" t="s">
        <v>334</v>
      </c>
      <c r="C43" s="300">
        <v>0</v>
      </c>
      <c r="D43" s="300">
        <v>10.4</v>
      </c>
      <c r="E43" s="300">
        <v>7.3</v>
      </c>
      <c r="F43" s="300">
        <v>2.6</v>
      </c>
      <c r="G43" s="300">
        <v>206.7</v>
      </c>
      <c r="H43" s="300">
        <v>0.03</v>
      </c>
      <c r="I43" s="300">
        <v>0</v>
      </c>
      <c r="J43" s="300"/>
      <c r="K43" s="300"/>
      <c r="L43" s="300"/>
      <c r="M43" s="300">
        <v>0</v>
      </c>
      <c r="N43" s="300">
        <v>0</v>
      </c>
      <c r="O43" s="300">
        <v>0</v>
      </c>
      <c r="P43" s="300">
        <v>0</v>
      </c>
      <c r="Q43" s="300">
        <v>0</v>
      </c>
      <c r="R43" s="301">
        <v>0</v>
      </c>
      <c r="S43" s="301">
        <v>0</v>
      </c>
      <c r="T43" s="301">
        <v>0</v>
      </c>
      <c r="U43" s="301">
        <v>0</v>
      </c>
      <c r="V43" s="302">
        <v>0</v>
      </c>
      <c r="X43" s="9"/>
      <c r="Y43" s="9"/>
    </row>
    <row r="44" spans="2:30">
      <c r="B44" s="299" t="s">
        <v>335</v>
      </c>
      <c r="C44" s="300">
        <v>0</v>
      </c>
      <c r="D44" s="300">
        <v>-102.7</v>
      </c>
      <c r="E44" s="300">
        <v>-157.4</v>
      </c>
      <c r="F44" s="300">
        <v>-249.7</v>
      </c>
      <c r="G44" s="300">
        <v>-276.5</v>
      </c>
      <c r="H44" s="300">
        <v>-327.09505234</v>
      </c>
      <c r="I44" s="300">
        <v>-258.56829793000003</v>
      </c>
      <c r="J44" s="300"/>
      <c r="K44" s="300"/>
      <c r="L44" s="300">
        <v>-346</v>
      </c>
      <c r="M44" s="300">
        <v>-357.13972762000003</v>
      </c>
      <c r="N44" s="300">
        <v>-405.58888933999998</v>
      </c>
      <c r="O44" s="300">
        <v>-419.34656863999999</v>
      </c>
      <c r="P44" s="300">
        <v>-442.27023896999998</v>
      </c>
      <c r="Q44" s="300">
        <v>-466.98597691200007</v>
      </c>
      <c r="R44" s="301">
        <v>-485.21022762999996</v>
      </c>
      <c r="S44" s="301">
        <v>-519.88434503000008</v>
      </c>
      <c r="T44" s="301">
        <v>-560.38694230999999</v>
      </c>
      <c r="U44" s="301">
        <v>-365.99749787000002</v>
      </c>
      <c r="V44" s="302">
        <v>-163.36851025999999</v>
      </c>
      <c r="X44" s="9"/>
      <c r="Y44" s="9"/>
    </row>
    <row r="45" spans="2:30">
      <c r="B45" s="299" t="s">
        <v>336</v>
      </c>
      <c r="C45" s="300">
        <v>70.599999999999994</v>
      </c>
      <c r="D45" s="300">
        <v>-125</v>
      </c>
      <c r="E45" s="300">
        <v>-150.19999999999999</v>
      </c>
      <c r="F45" s="300">
        <v>-37.5</v>
      </c>
      <c r="G45" s="300">
        <v>-11.1</v>
      </c>
      <c r="H45" s="300">
        <v>-21.120441651000661</v>
      </c>
      <c r="I45" s="300">
        <v>-54.049736634000197</v>
      </c>
      <c r="J45" s="300">
        <v>-0.69445428328988612</v>
      </c>
      <c r="K45" s="300">
        <v>-69.436034462999714</v>
      </c>
      <c r="L45" s="300">
        <v>39.14</v>
      </c>
      <c r="M45" s="300">
        <v>-25.089337128463992</v>
      </c>
      <c r="N45" s="300">
        <v>-6.9314647887003353</v>
      </c>
      <c r="O45" s="300">
        <v>16.838841887999919</v>
      </c>
      <c r="P45" s="300">
        <v>20.151963703199662</v>
      </c>
      <c r="Q45" s="300">
        <v>-2.5196941249985443</v>
      </c>
      <c r="R45" s="301">
        <v>-42.824119110820448</v>
      </c>
      <c r="S45" s="301">
        <v>68.942209565134561</v>
      </c>
      <c r="T45" s="301">
        <v>1.7811052060001415</v>
      </c>
      <c r="U45" s="301">
        <v>-15.787652481349188</v>
      </c>
      <c r="V45" s="302">
        <v>55.398244339206371</v>
      </c>
      <c r="X45" s="9"/>
      <c r="Y45" s="9"/>
    </row>
    <row r="46" spans="2:30" ht="24.75" customHeight="1">
      <c r="B46" s="314" t="s">
        <v>337</v>
      </c>
      <c r="C46" s="315">
        <f t="shared" ref="C46:S46" si="54">-C32-C35-C38</f>
        <v>-9.9999999997919531E-3</v>
      </c>
      <c r="D46" s="315">
        <f t="shared" si="54"/>
        <v>-4.4053649617126212E-13</v>
      </c>
      <c r="E46" s="315">
        <f t="shared" si="54"/>
        <v>0</v>
      </c>
      <c r="F46" s="315">
        <f t="shared" si="54"/>
        <v>1.4210854715202004E-13</v>
      </c>
      <c r="G46" s="315">
        <f t="shared" si="54"/>
        <v>1.0000000000417231E-2</v>
      </c>
      <c r="H46" s="315">
        <f t="shared" si="54"/>
        <v>-0.28102373999911379</v>
      </c>
      <c r="I46" s="315">
        <f t="shared" si="54"/>
        <v>4.4591940005034303E-3</v>
      </c>
      <c r="J46" s="315">
        <f t="shared" si="54"/>
        <v>25.700000000000728</v>
      </c>
      <c r="K46" s="315">
        <f t="shared" si="54"/>
        <v>137.6000000000013</v>
      </c>
      <c r="L46" s="315">
        <f t="shared" si="54"/>
        <v>-1.1575199993814067E-3</v>
      </c>
      <c r="M46" s="315">
        <f t="shared" si="54"/>
        <v>0</v>
      </c>
      <c r="N46" s="315">
        <f t="shared" si="54"/>
        <v>-5.6843418860808015E-13</v>
      </c>
      <c r="O46" s="315">
        <f t="shared" si="54"/>
        <v>-3.0000000003838068E-4</v>
      </c>
      <c r="P46" s="315">
        <f t="shared" si="54"/>
        <v>0</v>
      </c>
      <c r="Q46" s="315">
        <f t="shared" si="54"/>
        <v>-8.5265128291212022E-13</v>
      </c>
      <c r="R46" s="316">
        <f t="shared" si="54"/>
        <v>1.4779288903810084E-12</v>
      </c>
      <c r="S46" s="316">
        <f t="shared" si="54"/>
        <v>-5.4001247917767614E-13</v>
      </c>
      <c r="T46" s="316">
        <f t="shared" ref="T46:U46" si="55">-T32-T35-T38</f>
        <v>0</v>
      </c>
      <c r="U46" s="316">
        <f t="shared" si="55"/>
        <v>-3.4106051316484809E-13</v>
      </c>
      <c r="V46" s="317">
        <f t="shared" ref="V46" si="56">-V32-V35-V38</f>
        <v>-4.1211478674085811E-13</v>
      </c>
      <c r="X46" s="9"/>
      <c r="Y46" s="9"/>
    </row>
    <row r="47" spans="2:30" ht="36" customHeight="1">
      <c r="B47" s="762" t="s">
        <v>338</v>
      </c>
      <c r="C47" s="762"/>
      <c r="D47" s="762"/>
      <c r="E47" s="762"/>
      <c r="F47" s="762"/>
      <c r="G47" s="762"/>
      <c r="H47" s="762"/>
      <c r="I47" s="762"/>
      <c r="J47" s="762"/>
      <c r="K47" s="762"/>
      <c r="L47" s="762"/>
      <c r="M47" s="762"/>
      <c r="N47" s="762"/>
      <c r="O47" s="762"/>
      <c r="P47" s="762"/>
      <c r="Q47" s="762"/>
      <c r="R47" s="762"/>
      <c r="S47" s="318"/>
      <c r="T47" s="318"/>
      <c r="U47" s="318"/>
      <c r="V47" s="318"/>
      <c r="X47" s="9"/>
      <c r="Y47" s="9"/>
    </row>
    <row r="48" spans="2:30" ht="17.25">
      <c r="B48" s="319" t="s">
        <v>339</v>
      </c>
      <c r="C48" s="319"/>
      <c r="D48" s="319"/>
      <c r="E48" s="319"/>
      <c r="F48" s="319"/>
      <c r="G48" s="319"/>
      <c r="H48" s="319"/>
      <c r="I48" s="319"/>
      <c r="J48" s="319"/>
      <c r="K48" s="319"/>
      <c r="L48" s="319"/>
      <c r="M48" s="319"/>
      <c r="N48" s="319"/>
      <c r="O48" s="319"/>
      <c r="P48" s="319"/>
      <c r="Q48" s="319"/>
      <c r="R48" s="319"/>
      <c r="S48" s="319"/>
      <c r="T48" s="319"/>
      <c r="U48" s="319"/>
      <c r="V48" s="319"/>
    </row>
    <row r="49" spans="2:24">
      <c r="M49" s="2"/>
      <c r="N49" s="2"/>
      <c r="O49" s="2"/>
      <c r="P49" s="2"/>
      <c r="Q49" s="2"/>
      <c r="R49" s="2"/>
      <c r="S49" s="2"/>
      <c r="T49" s="2"/>
      <c r="U49" s="2"/>
      <c r="V49" s="2"/>
    </row>
    <row r="50" spans="2:24">
      <c r="B50" s="2" t="s">
        <v>340</v>
      </c>
      <c r="M50" s="2"/>
      <c r="N50" s="2"/>
      <c r="O50" s="2"/>
      <c r="P50" s="2"/>
      <c r="Q50" s="2"/>
      <c r="R50" s="2"/>
      <c r="S50" s="2"/>
      <c r="T50" s="2"/>
      <c r="U50" s="2"/>
      <c r="V50" s="2"/>
      <c r="X50" s="9"/>
    </row>
    <row r="51" spans="2:24" ht="24.95" customHeight="1">
      <c r="B51" s="320" t="s">
        <v>341</v>
      </c>
      <c r="C51" s="320"/>
      <c r="D51" s="321">
        <f t="shared" ref="D51:I51" si="57">D52+D53</f>
        <v>102.7</v>
      </c>
      <c r="E51" s="321">
        <f t="shared" si="57"/>
        <v>157.4</v>
      </c>
      <c r="F51" s="321">
        <f t="shared" si="57"/>
        <v>249.7</v>
      </c>
      <c r="G51" s="321">
        <f t="shared" si="57"/>
        <v>276.5</v>
      </c>
      <c r="H51" s="321">
        <f t="shared" si="57"/>
        <v>327.10000000000002</v>
      </c>
      <c r="I51" s="321">
        <f t="shared" si="57"/>
        <v>349.40000000000003</v>
      </c>
      <c r="J51" s="321">
        <f>+J53</f>
        <v>319.3</v>
      </c>
      <c r="K51" s="321">
        <f>+K53</f>
        <v>320.7</v>
      </c>
      <c r="L51" s="322">
        <f>+L53</f>
        <v>346</v>
      </c>
      <c r="M51" s="322">
        <f t="shared" ref="M51:S51" si="58">M53</f>
        <v>357.13972761999997</v>
      </c>
      <c r="N51" s="322">
        <f t="shared" si="58"/>
        <v>405.58888933999998</v>
      </c>
      <c r="O51" s="322">
        <f t="shared" si="58"/>
        <v>419.3</v>
      </c>
      <c r="P51" s="322">
        <f t="shared" si="58"/>
        <v>442.27023896999998</v>
      </c>
      <c r="Q51" s="322">
        <f t="shared" si="58"/>
        <v>466.98597691200007</v>
      </c>
      <c r="R51" s="322">
        <f t="shared" si="58"/>
        <v>485.21022762999996</v>
      </c>
      <c r="S51" s="262">
        <f t="shared" si="58"/>
        <v>519.88434503000008</v>
      </c>
      <c r="T51" s="262">
        <f t="shared" ref="T51:U51" si="59">T53</f>
        <v>560.38694230999999</v>
      </c>
      <c r="U51" s="262">
        <f t="shared" si="59"/>
        <v>365.99749787000002</v>
      </c>
      <c r="V51" s="323">
        <f t="shared" ref="V51" si="60">V53</f>
        <v>163.36851025999999</v>
      </c>
      <c r="X51" s="9"/>
    </row>
    <row r="52" spans="2:24" ht="15" customHeight="1">
      <c r="B52" s="35" t="s">
        <v>342</v>
      </c>
      <c r="C52" s="324"/>
      <c r="D52" s="324">
        <v>102.7</v>
      </c>
      <c r="E52" s="324">
        <v>157.4</v>
      </c>
      <c r="F52" s="324">
        <v>249.7</v>
      </c>
      <c r="G52" s="324">
        <v>276.5</v>
      </c>
      <c r="H52" s="324">
        <v>327.10000000000002</v>
      </c>
      <c r="I52" s="324">
        <v>258.60000000000002</v>
      </c>
      <c r="J52" s="324">
        <v>0</v>
      </c>
      <c r="K52" s="324">
        <v>0</v>
      </c>
      <c r="L52" s="278">
        <v>0</v>
      </c>
      <c r="M52" s="278"/>
      <c r="N52" s="278"/>
      <c r="O52" s="278"/>
      <c r="P52" s="278"/>
      <c r="Q52" s="278"/>
      <c r="R52" s="278"/>
      <c r="S52" s="250"/>
      <c r="T52" s="250"/>
      <c r="U52" s="250"/>
      <c r="V52" s="251"/>
      <c r="X52" s="9"/>
    </row>
    <row r="53" spans="2:24" ht="15" customHeight="1">
      <c r="B53" s="325" t="s">
        <v>343</v>
      </c>
      <c r="C53" s="326"/>
      <c r="D53" s="326"/>
      <c r="E53" s="326">
        <v>0</v>
      </c>
      <c r="F53" s="326">
        <v>0</v>
      </c>
      <c r="G53" s="326">
        <v>0</v>
      </c>
      <c r="H53" s="326">
        <v>0</v>
      </c>
      <c r="I53" s="326">
        <v>90.8</v>
      </c>
      <c r="J53" s="326">
        <v>319.3</v>
      </c>
      <c r="K53" s="326">
        <v>320.7</v>
      </c>
      <c r="L53" s="327">
        <v>346</v>
      </c>
      <c r="M53" s="327">
        <v>357.13972761999997</v>
      </c>
      <c r="N53" s="327">
        <v>405.58888933999998</v>
      </c>
      <c r="O53" s="327">
        <v>419.3</v>
      </c>
      <c r="P53" s="327">
        <v>442.27023896999998</v>
      </c>
      <c r="Q53" s="327">
        <v>466.98597691200007</v>
      </c>
      <c r="R53" s="327">
        <v>485.21022762999996</v>
      </c>
      <c r="S53" s="612">
        <v>519.88434503000008</v>
      </c>
      <c r="T53" s="612">
        <v>560.38694230999999</v>
      </c>
      <c r="U53" s="612">
        <v>365.99749787000002</v>
      </c>
      <c r="V53" s="328">
        <v>163.36851025999999</v>
      </c>
      <c r="X53" s="9"/>
    </row>
    <row r="54" spans="2:24" ht="15" hidden="1" customHeight="1">
      <c r="B54" s="325" t="s">
        <v>344</v>
      </c>
      <c r="C54" s="326"/>
      <c r="D54" s="326"/>
      <c r="E54" s="326">
        <v>0</v>
      </c>
      <c r="F54" s="326">
        <v>0</v>
      </c>
      <c r="G54" s="326">
        <v>0</v>
      </c>
      <c r="H54" s="326">
        <v>0</v>
      </c>
      <c r="I54" s="326">
        <v>0</v>
      </c>
      <c r="J54" s="326">
        <v>25.7</v>
      </c>
      <c r="K54" s="326">
        <v>137.6</v>
      </c>
      <c r="L54" s="327">
        <v>24.18</v>
      </c>
      <c r="M54" s="327"/>
      <c r="N54" s="327"/>
      <c r="O54" s="327"/>
      <c r="P54" s="327"/>
      <c r="Q54" s="327"/>
      <c r="R54" s="327"/>
      <c r="S54" s="328"/>
      <c r="T54" s="328"/>
      <c r="U54" s="328"/>
      <c r="V54" s="328"/>
    </row>
    <row r="55" spans="2:24">
      <c r="M55" s="2"/>
      <c r="N55" s="2"/>
      <c r="O55" s="2"/>
      <c r="P55" s="2"/>
      <c r="Q55" s="2"/>
      <c r="R55" s="2"/>
      <c r="S55" s="2"/>
      <c r="T55" s="2"/>
      <c r="U55" s="2"/>
      <c r="V55" s="2"/>
    </row>
    <row r="56" spans="2:24">
      <c r="M56" s="2"/>
      <c r="N56" s="2"/>
      <c r="O56" s="2"/>
      <c r="P56" s="2"/>
      <c r="Q56" s="2"/>
      <c r="R56" s="2"/>
      <c r="S56" s="2"/>
      <c r="T56" s="2"/>
      <c r="U56" s="2"/>
      <c r="V56" s="2"/>
    </row>
    <row r="57" spans="2:24">
      <c r="M57" s="2"/>
      <c r="N57" s="2"/>
      <c r="O57" s="2"/>
      <c r="P57" s="2"/>
      <c r="Q57" s="2"/>
      <c r="R57" s="2"/>
      <c r="S57" s="2"/>
      <c r="T57" s="2"/>
      <c r="U57" s="2"/>
      <c r="V57" s="2"/>
    </row>
    <row r="58" spans="2:24">
      <c r="M58" s="2"/>
      <c r="N58" s="2"/>
      <c r="O58" s="2"/>
      <c r="P58" s="2"/>
      <c r="Q58" s="2"/>
      <c r="R58" s="2"/>
      <c r="S58" s="2"/>
      <c r="T58" s="2"/>
      <c r="U58" s="2"/>
      <c r="V58" s="2"/>
    </row>
    <row r="59" spans="2:24">
      <c r="M59" s="2"/>
      <c r="N59" s="2"/>
      <c r="O59" s="2"/>
      <c r="P59" s="2"/>
      <c r="Q59" s="2"/>
      <c r="R59" s="2"/>
      <c r="S59" s="2"/>
      <c r="T59" s="2"/>
      <c r="U59" s="2"/>
      <c r="V59" s="2"/>
    </row>
    <row r="60" spans="2:24">
      <c r="M60" s="2"/>
      <c r="N60" s="2"/>
      <c r="O60" s="2"/>
      <c r="P60" s="2"/>
      <c r="Q60" s="2"/>
      <c r="R60" s="2"/>
      <c r="S60" s="2"/>
      <c r="T60" s="2"/>
      <c r="U60" s="2"/>
      <c r="V60" s="2"/>
    </row>
    <row r="61" spans="2:24">
      <c r="M61" s="2"/>
      <c r="N61" s="2"/>
      <c r="O61" s="2"/>
      <c r="P61" s="2"/>
      <c r="Q61" s="2"/>
      <c r="R61" s="2"/>
      <c r="S61" s="2"/>
      <c r="T61" s="2"/>
      <c r="U61" s="2"/>
      <c r="V61" s="2"/>
    </row>
    <row r="62" spans="2:24">
      <c r="M62" s="2"/>
      <c r="N62" s="2"/>
      <c r="O62" s="2"/>
      <c r="P62" s="2"/>
      <c r="Q62" s="2"/>
      <c r="R62" s="2"/>
      <c r="S62" s="2"/>
      <c r="T62" s="2"/>
      <c r="U62" s="2"/>
      <c r="V62" s="2"/>
    </row>
    <row r="63" spans="2:24">
      <c r="M63" s="2"/>
      <c r="N63" s="2"/>
      <c r="O63" s="2"/>
      <c r="P63" s="2"/>
      <c r="Q63" s="2"/>
      <c r="R63" s="2"/>
      <c r="S63" s="2"/>
      <c r="T63" s="2"/>
      <c r="U63" s="2"/>
      <c r="V63" s="2"/>
    </row>
    <row r="64" spans="2:24">
      <c r="M64" s="2"/>
      <c r="N64" s="2"/>
      <c r="O64" s="2"/>
      <c r="P64" s="2"/>
      <c r="Q64" s="2"/>
      <c r="R64" s="2"/>
      <c r="S64" s="2"/>
      <c r="T64" s="2"/>
      <c r="U64" s="2"/>
      <c r="V64" s="2"/>
    </row>
    <row r="68" spans="1:25">
      <c r="A68" s="55"/>
      <c r="B68" s="329"/>
      <c r="C68" s="329"/>
      <c r="D68" s="329"/>
      <c r="E68" s="329"/>
      <c r="F68" s="329"/>
      <c r="G68" s="329"/>
      <c r="H68" s="329"/>
      <c r="I68" s="329"/>
      <c r="J68" s="329"/>
      <c r="K68" s="329"/>
      <c r="L68" s="329"/>
    </row>
    <row r="69" spans="1:25">
      <c r="A69" s="55"/>
      <c r="B69" s="329"/>
      <c r="C69" s="329"/>
      <c r="D69" s="329"/>
      <c r="E69" s="329"/>
      <c r="F69" s="329"/>
      <c r="G69" s="329"/>
      <c r="H69" s="329"/>
      <c r="I69" s="329"/>
      <c r="J69" s="329"/>
      <c r="K69" s="329"/>
      <c r="L69" s="329"/>
    </row>
    <row r="70" spans="1:25">
      <c r="B70" s="2" t="s">
        <v>18</v>
      </c>
      <c r="M70" s="2"/>
      <c r="N70" s="2"/>
      <c r="O70" s="2"/>
      <c r="P70" s="2"/>
      <c r="Q70" s="2"/>
      <c r="R70" s="2"/>
      <c r="S70" s="2"/>
      <c r="T70" s="2"/>
      <c r="U70" s="2"/>
      <c r="V70" s="2"/>
    </row>
    <row r="71" spans="1:25">
      <c r="B71" s="2" t="s">
        <v>774</v>
      </c>
      <c r="M71" s="2"/>
      <c r="N71" s="2"/>
      <c r="O71" s="2"/>
      <c r="P71" s="2"/>
      <c r="Q71" s="2"/>
      <c r="R71" s="2"/>
      <c r="S71" s="2"/>
      <c r="T71" s="2"/>
      <c r="U71" s="2"/>
      <c r="V71" s="2"/>
    </row>
    <row r="72" spans="1:25">
      <c r="B72" s="2" t="s">
        <v>55</v>
      </c>
      <c r="M72" s="2"/>
      <c r="N72" s="2"/>
      <c r="O72" s="2"/>
      <c r="P72" s="2"/>
      <c r="Q72" s="2"/>
      <c r="R72" s="2"/>
      <c r="S72" s="2"/>
      <c r="T72" s="2"/>
      <c r="U72" s="2"/>
      <c r="V72" s="2"/>
      <c r="Y72" s="9"/>
    </row>
    <row r="73" spans="1:25" ht="6" customHeight="1">
      <c r="M73" s="2"/>
      <c r="N73" s="2"/>
      <c r="O73" s="2"/>
      <c r="P73" s="2"/>
      <c r="Q73" s="2"/>
      <c r="R73" s="2"/>
      <c r="S73" s="2"/>
      <c r="T73" s="2"/>
      <c r="U73" s="2"/>
      <c r="V73" s="2"/>
      <c r="Y73" s="9"/>
    </row>
    <row r="74" spans="1:25" ht="30" customHeight="1">
      <c r="B74" s="289" t="s">
        <v>238</v>
      </c>
      <c r="C74" s="289">
        <v>2000</v>
      </c>
      <c r="D74" s="290">
        <v>2001</v>
      </c>
      <c r="E74" s="290">
        <v>2002</v>
      </c>
      <c r="F74" s="290">
        <v>2003</v>
      </c>
      <c r="G74" s="290">
        <v>2004</v>
      </c>
      <c r="H74" s="290">
        <v>2005</v>
      </c>
      <c r="I74" s="290">
        <v>2006</v>
      </c>
      <c r="J74" s="290">
        <v>2007</v>
      </c>
      <c r="K74" s="290">
        <v>2008</v>
      </c>
      <c r="L74" s="290">
        <v>2009</v>
      </c>
      <c r="M74" s="290">
        <v>2010</v>
      </c>
      <c r="N74" s="290">
        <v>2011</v>
      </c>
      <c r="O74" s="290">
        <v>2012</v>
      </c>
      <c r="P74" s="290">
        <v>2013</v>
      </c>
      <c r="Q74" s="290">
        <v>2014</v>
      </c>
      <c r="R74" s="290">
        <v>2015</v>
      </c>
      <c r="S74" s="290">
        <v>2016</v>
      </c>
      <c r="T74" s="290">
        <v>2017</v>
      </c>
      <c r="U74" s="290">
        <v>2018</v>
      </c>
      <c r="V74" s="291" t="s">
        <v>773</v>
      </c>
      <c r="Y74" s="9"/>
    </row>
    <row r="75" spans="1:25" ht="6" customHeight="1">
      <c r="B75" s="292"/>
      <c r="C75" s="292"/>
      <c r="D75" s="292"/>
      <c r="E75" s="292"/>
      <c r="F75" s="292"/>
      <c r="G75" s="292"/>
      <c r="H75" s="292"/>
      <c r="I75" s="292"/>
      <c r="J75" s="292"/>
      <c r="K75" s="292"/>
      <c r="L75" s="292"/>
      <c r="M75" s="292"/>
      <c r="N75" s="293"/>
      <c r="O75" s="293"/>
      <c r="P75" s="293"/>
      <c r="Q75" s="293"/>
      <c r="R75" s="293"/>
      <c r="S75" s="293"/>
      <c r="T75" s="293"/>
      <c r="U75" s="293"/>
      <c r="V75" s="330"/>
      <c r="Y75" s="9"/>
    </row>
    <row r="76" spans="1:25" ht="25.5" customHeight="1">
      <c r="B76" s="331" t="s">
        <v>239</v>
      </c>
      <c r="C76" s="332">
        <f t="shared" ref="C76:T76" si="61">C8/C$114</f>
        <v>0.18488018172360804</v>
      </c>
      <c r="D76" s="332">
        <f t="shared" si="61"/>
        <v>0.17477669502944426</v>
      </c>
      <c r="E76" s="332">
        <f t="shared" si="61"/>
        <v>0.18225405651683999</v>
      </c>
      <c r="F76" s="332">
        <f t="shared" si="61"/>
        <v>0.18971767358381866</v>
      </c>
      <c r="G76" s="332">
        <f t="shared" si="61"/>
        <v>0.19501909316048821</v>
      </c>
      <c r="H76" s="332">
        <f t="shared" si="61"/>
        <v>0.19623764748265071</v>
      </c>
      <c r="I76" s="332">
        <f t="shared" si="61"/>
        <v>0.20533802640893156</v>
      </c>
      <c r="J76" s="332">
        <f t="shared" si="61"/>
        <v>0.21398774527723485</v>
      </c>
      <c r="K76" s="332">
        <f t="shared" si="61"/>
        <v>0.21881300382945576</v>
      </c>
      <c r="L76" s="332">
        <f t="shared" si="61"/>
        <v>0.20602649074346568</v>
      </c>
      <c r="M76" s="332">
        <f t="shared" si="61"/>
        <v>0.21649257205340569</v>
      </c>
      <c r="N76" s="333">
        <f t="shared" si="61"/>
        <v>0.22252307677172603</v>
      </c>
      <c r="O76" s="333">
        <f t="shared" si="61"/>
        <v>0.22253842335100049</v>
      </c>
      <c r="P76" s="333">
        <f t="shared" si="61"/>
        <v>0.22177462849015234</v>
      </c>
      <c r="Q76" s="333">
        <f t="shared" si="61"/>
        <v>0.21936625423783945</v>
      </c>
      <c r="R76" s="333">
        <f t="shared" si="61"/>
        <v>0.21854134727439897</v>
      </c>
      <c r="S76" s="333">
        <f t="shared" si="61"/>
        <v>0.22123522812142532</v>
      </c>
      <c r="T76" s="333">
        <f t="shared" si="61"/>
        <v>0.22857541243286153</v>
      </c>
      <c r="U76" s="333">
        <f t="shared" ref="U76:V76" si="62">U8/U$114</f>
        <v>0.23014206075932797</v>
      </c>
      <c r="V76" s="334">
        <f t="shared" si="62"/>
        <v>0.12204357660035432</v>
      </c>
      <c r="X76" s="9"/>
      <c r="Y76" s="9"/>
    </row>
    <row r="77" spans="1:25">
      <c r="B77" s="335" t="s">
        <v>240</v>
      </c>
      <c r="C77" s="336">
        <f t="shared" ref="C77:T77" si="63">C9/C$114</f>
        <v>0.1749013358585923</v>
      </c>
      <c r="D77" s="336">
        <f t="shared" si="63"/>
        <v>0.17000569100991411</v>
      </c>
      <c r="E77" s="336">
        <f t="shared" si="63"/>
        <v>0.17319702247044616</v>
      </c>
      <c r="F77" s="336">
        <f t="shared" si="63"/>
        <v>0.18442466677086566</v>
      </c>
      <c r="G77" s="336">
        <f t="shared" si="63"/>
        <v>0.19148971825475181</v>
      </c>
      <c r="H77" s="336">
        <f t="shared" si="63"/>
        <v>0.19268119666825417</v>
      </c>
      <c r="I77" s="336">
        <f t="shared" si="63"/>
        <v>0.2027537689321614</v>
      </c>
      <c r="J77" s="336">
        <f t="shared" si="63"/>
        <v>0.2103223686228636</v>
      </c>
      <c r="K77" s="336">
        <f t="shared" si="63"/>
        <v>0.21586778731120274</v>
      </c>
      <c r="L77" s="336">
        <f t="shared" si="63"/>
        <v>0.19984524151754215</v>
      </c>
      <c r="M77" s="336">
        <f t="shared" si="63"/>
        <v>0.20756693263985665</v>
      </c>
      <c r="N77" s="337">
        <f t="shared" si="63"/>
        <v>0.21197116222621232</v>
      </c>
      <c r="O77" s="337">
        <f t="shared" si="63"/>
        <v>0.21420792721401463</v>
      </c>
      <c r="P77" s="337">
        <f t="shared" si="63"/>
        <v>0.21855370257286633</v>
      </c>
      <c r="Q77" s="337">
        <f t="shared" si="63"/>
        <v>0.2173143508272522</v>
      </c>
      <c r="R77" s="337">
        <f t="shared" si="63"/>
        <v>0.21628937510669355</v>
      </c>
      <c r="S77" s="337">
        <f t="shared" si="63"/>
        <v>0.21933222388446524</v>
      </c>
      <c r="T77" s="337">
        <f t="shared" si="63"/>
        <v>0.22680067789932351</v>
      </c>
      <c r="U77" s="337">
        <f t="shared" ref="U77:V77" si="64">U9/U$114</f>
        <v>0.22782285528853977</v>
      </c>
      <c r="V77" s="338">
        <f t="shared" si="64"/>
        <v>0.12019227559866684</v>
      </c>
      <c r="X77" s="9"/>
      <c r="Y77" s="9"/>
    </row>
    <row r="78" spans="1:25">
      <c r="B78" s="339" t="s">
        <v>345</v>
      </c>
      <c r="C78" s="336">
        <f t="shared" ref="C78:T78" si="65">C10/C$114</f>
        <v>0.12314031564039837</v>
      </c>
      <c r="D78" s="336">
        <f t="shared" si="65"/>
        <v>0.12458345308336312</v>
      </c>
      <c r="E78" s="336">
        <f t="shared" si="65"/>
        <v>0.13305233102156552</v>
      </c>
      <c r="F78" s="336">
        <f t="shared" si="65"/>
        <v>0.13684046001590167</v>
      </c>
      <c r="G78" s="336">
        <f t="shared" si="65"/>
        <v>0.14027152288446981</v>
      </c>
      <c r="H78" s="336">
        <f t="shared" si="65"/>
        <v>0.15167870640767447</v>
      </c>
      <c r="I78" s="336">
        <f t="shared" si="65"/>
        <v>0.16084791832943851</v>
      </c>
      <c r="J78" s="336">
        <f t="shared" si="65"/>
        <v>0.16910603569356475</v>
      </c>
      <c r="K78" s="336">
        <f t="shared" si="65"/>
        <v>0.17176717694832178</v>
      </c>
      <c r="L78" s="336">
        <f t="shared" si="65"/>
        <v>0.16112153313160948</v>
      </c>
      <c r="M78" s="336">
        <f t="shared" si="65"/>
        <v>0.16651027017192183</v>
      </c>
      <c r="N78" s="337">
        <f t="shared" si="65"/>
        <v>0.1718912917976827</v>
      </c>
      <c r="O78" s="337">
        <f t="shared" si="65"/>
        <v>0.1723250469149426</v>
      </c>
      <c r="P78" s="337">
        <f t="shared" si="65"/>
        <v>0.17935077381387629</v>
      </c>
      <c r="Q78" s="337">
        <f t="shared" si="65"/>
        <v>0.17655615683513864</v>
      </c>
      <c r="R78" s="337">
        <f t="shared" si="65"/>
        <v>0.17569806390198237</v>
      </c>
      <c r="S78" s="337">
        <f t="shared" si="65"/>
        <v>0.17545641644217075</v>
      </c>
      <c r="T78" s="337">
        <f t="shared" si="65"/>
        <v>0.1800459211657828</v>
      </c>
      <c r="U78" s="337">
        <f t="shared" ref="U78:V78" si="66">U10/U$114</f>
        <v>0.18303384625282171</v>
      </c>
      <c r="V78" s="338">
        <f t="shared" si="66"/>
        <v>0.10040463751429519</v>
      </c>
      <c r="X78" s="9"/>
      <c r="Y78" s="9"/>
    </row>
    <row r="79" spans="1:25">
      <c r="B79" s="339" t="s">
        <v>317</v>
      </c>
      <c r="C79" s="336">
        <f t="shared" ref="C79:T79" si="67">C11/C$114</f>
        <v>4.4353254537786824E-2</v>
      </c>
      <c r="D79" s="336">
        <f t="shared" si="67"/>
        <v>4.1408406899881373E-2</v>
      </c>
      <c r="E79" s="336">
        <f t="shared" si="67"/>
        <v>4.0128898887335077E-2</v>
      </c>
      <c r="F79" s="336">
        <f t="shared" si="67"/>
        <v>4.0373334420627176E-2</v>
      </c>
      <c r="G79" s="336">
        <f t="shared" si="67"/>
        <v>4.3956892663723574E-2</v>
      </c>
      <c r="H79" s="336">
        <f t="shared" si="67"/>
        <v>3.4825146404272693E-2</v>
      </c>
      <c r="I79" s="336">
        <f t="shared" si="67"/>
        <v>3.4527737378194479E-2</v>
      </c>
      <c r="J79" s="336">
        <f t="shared" si="67"/>
        <v>3.4705562432436408E-2</v>
      </c>
      <c r="K79" s="336">
        <f t="shared" si="67"/>
        <v>3.4434637446495754E-2</v>
      </c>
      <c r="L79" s="336">
        <f t="shared" si="67"/>
        <v>3.2553821750497966E-2</v>
      </c>
      <c r="M79" s="336">
        <f t="shared" si="67"/>
        <v>3.5317940125282415E-2</v>
      </c>
      <c r="N79" s="337">
        <f t="shared" si="67"/>
        <v>3.1749332228016673E-2</v>
      </c>
      <c r="O79" s="337">
        <f t="shared" si="67"/>
        <v>3.4315220271063276E-2</v>
      </c>
      <c r="P79" s="337">
        <f t="shared" si="67"/>
        <v>3.4367510816262679E-2</v>
      </c>
      <c r="Q79" s="337">
        <f t="shared" si="67"/>
        <v>3.5278620156266316E-2</v>
      </c>
      <c r="R79" s="337">
        <f t="shared" si="67"/>
        <v>3.5683390461344784E-2</v>
      </c>
      <c r="S79" s="337">
        <f t="shared" si="67"/>
        <v>3.8827218097458364E-2</v>
      </c>
      <c r="T79" s="337">
        <f t="shared" si="67"/>
        <v>4.2085675007672102E-2</v>
      </c>
      <c r="U79" s="337">
        <f t="shared" ref="U79:V79" si="68">U11/U$114</f>
        <v>3.8204444521881695E-2</v>
      </c>
      <c r="V79" s="338">
        <f t="shared" si="68"/>
        <v>1.7305057384158919E-2</v>
      </c>
      <c r="X79" s="9"/>
      <c r="Y79" s="9"/>
    </row>
    <row r="80" spans="1:25">
      <c r="B80" s="339" t="s">
        <v>318</v>
      </c>
      <c r="C80" s="336">
        <f t="shared" ref="C80:T80" si="69">C12/C$114</f>
        <v>7.4077656804070954E-3</v>
      </c>
      <c r="D80" s="336">
        <f t="shared" si="69"/>
        <v>4.0138310266695865E-3</v>
      </c>
      <c r="E80" s="336">
        <f t="shared" si="69"/>
        <v>1.5792561545586415E-5</v>
      </c>
      <c r="F80" s="336">
        <f t="shared" si="69"/>
        <v>7.2108723343368153E-3</v>
      </c>
      <c r="G80" s="336">
        <f t="shared" si="69"/>
        <v>7.2613027065584149E-3</v>
      </c>
      <c r="H80" s="336">
        <f t="shared" si="69"/>
        <v>6.1773438563069785E-3</v>
      </c>
      <c r="I80" s="336">
        <f t="shared" si="69"/>
        <v>7.3781132245284197E-3</v>
      </c>
      <c r="J80" s="336">
        <f t="shared" si="69"/>
        <v>6.5107704968624626E-3</v>
      </c>
      <c r="K80" s="336">
        <f t="shared" si="69"/>
        <v>9.6659729163852091E-3</v>
      </c>
      <c r="L80" s="336">
        <f t="shared" si="69"/>
        <v>6.169886635434693E-3</v>
      </c>
      <c r="M80" s="336">
        <f t="shared" si="69"/>
        <v>5.7387223426523951E-3</v>
      </c>
      <c r="N80" s="337">
        <f t="shared" si="69"/>
        <v>8.3305382005129242E-3</v>
      </c>
      <c r="O80" s="337">
        <f t="shared" si="69"/>
        <v>7.5676600280087805E-3</v>
      </c>
      <c r="P80" s="337">
        <f t="shared" si="69"/>
        <v>4.8354179427273743E-3</v>
      </c>
      <c r="Q80" s="337">
        <f t="shared" si="69"/>
        <v>5.4795738358472601E-3</v>
      </c>
      <c r="R80" s="337">
        <f t="shared" si="69"/>
        <v>4.9079207433663941E-3</v>
      </c>
      <c r="S80" s="337">
        <f t="shared" si="69"/>
        <v>5.0485893448361362E-3</v>
      </c>
      <c r="T80" s="337">
        <f t="shared" si="69"/>
        <v>4.6690817258685747E-3</v>
      </c>
      <c r="U80" s="337">
        <f t="shared" ref="U80:V80" si="70">U12/U$114</f>
        <v>6.5845645138363669E-3</v>
      </c>
      <c r="V80" s="338">
        <f t="shared" si="70"/>
        <v>2.4825807002127067E-3</v>
      </c>
      <c r="X80" s="9"/>
      <c r="Y80" s="9"/>
    </row>
    <row r="81" spans="1:25" hidden="1">
      <c r="B81" s="339" t="s">
        <v>319</v>
      </c>
      <c r="C81" s="336">
        <f t="shared" ref="C81:T81" si="71">C13/C$114</f>
        <v>0</v>
      </c>
      <c r="D81" s="336">
        <f t="shared" si="71"/>
        <v>0</v>
      </c>
      <c r="E81" s="336">
        <f t="shared" si="71"/>
        <v>0</v>
      </c>
      <c r="F81" s="336">
        <f t="shared" si="71"/>
        <v>0</v>
      </c>
      <c r="G81" s="336">
        <f t="shared" si="71"/>
        <v>0</v>
      </c>
      <c r="H81" s="336">
        <f t="shared" si="71"/>
        <v>0</v>
      </c>
      <c r="I81" s="336">
        <f t="shared" si="71"/>
        <v>0</v>
      </c>
      <c r="J81" s="336">
        <f t="shared" si="71"/>
        <v>0</v>
      </c>
      <c r="K81" s="336">
        <f t="shared" si="71"/>
        <v>0</v>
      </c>
      <c r="L81" s="336">
        <f t="shared" si="71"/>
        <v>0</v>
      </c>
      <c r="M81" s="336">
        <f t="shared" si="71"/>
        <v>0</v>
      </c>
      <c r="N81" s="337">
        <f t="shared" si="71"/>
        <v>0</v>
      </c>
      <c r="O81" s="337">
        <f t="shared" si="71"/>
        <v>0</v>
      </c>
      <c r="P81" s="337">
        <f t="shared" si="71"/>
        <v>0</v>
      </c>
      <c r="Q81" s="337">
        <f t="shared" si="71"/>
        <v>0</v>
      </c>
      <c r="R81" s="337">
        <f t="shared" si="71"/>
        <v>0</v>
      </c>
      <c r="S81" s="337">
        <f t="shared" si="71"/>
        <v>0</v>
      </c>
      <c r="T81" s="337">
        <f t="shared" si="71"/>
        <v>0</v>
      </c>
      <c r="U81" s="337">
        <f t="shared" ref="U81:V81" si="72">U13/U$114</f>
        <v>0</v>
      </c>
      <c r="V81" s="338">
        <f t="shared" si="72"/>
        <v>0</v>
      </c>
      <c r="X81" s="9"/>
      <c r="Y81" s="9"/>
    </row>
    <row r="82" spans="1:25">
      <c r="B82" s="335" t="s">
        <v>244</v>
      </c>
      <c r="C82" s="336">
        <f t="shared" ref="C82:T82" si="73">C14/C$114</f>
        <v>6.4489139943979296E-4</v>
      </c>
      <c r="D82" s="336">
        <f t="shared" si="73"/>
        <v>9.7699741014269857E-5</v>
      </c>
      <c r="E82" s="336">
        <f t="shared" si="73"/>
        <v>5.1246862215427917E-3</v>
      </c>
      <c r="F82" s="336">
        <f t="shared" si="73"/>
        <v>3.0202606635965721E-5</v>
      </c>
      <c r="G82" s="336">
        <f t="shared" si="73"/>
        <v>7.2860753627919078E-6</v>
      </c>
      <c r="H82" s="336">
        <f t="shared" si="73"/>
        <v>9.269356375017008E-6</v>
      </c>
      <c r="I82" s="336">
        <f t="shared" si="73"/>
        <v>3.0625210548322521E-6</v>
      </c>
      <c r="J82" s="336">
        <f t="shared" si="73"/>
        <v>8.0684526871133185E-7</v>
      </c>
      <c r="K82" s="336">
        <f t="shared" si="73"/>
        <v>5.2523971626000944E-6</v>
      </c>
      <c r="L82" s="336">
        <f t="shared" si="73"/>
        <v>0</v>
      </c>
      <c r="M82" s="336">
        <f t="shared" si="73"/>
        <v>1.2532593918447174E-5</v>
      </c>
      <c r="N82" s="337">
        <f t="shared" si="73"/>
        <v>8.0355767021728686E-6</v>
      </c>
      <c r="O82" s="337">
        <f t="shared" si="73"/>
        <v>8.2638997669052156E-6</v>
      </c>
      <c r="P82" s="337">
        <f t="shared" si="73"/>
        <v>4.7992447805825672E-7</v>
      </c>
      <c r="Q82" s="337">
        <f t="shared" si="73"/>
        <v>1.6300550557307046E-6</v>
      </c>
      <c r="R82" s="337">
        <f t="shared" si="73"/>
        <v>0</v>
      </c>
      <c r="S82" s="337">
        <f t="shared" si="73"/>
        <v>2.8774664021982183E-6</v>
      </c>
      <c r="T82" s="337">
        <f t="shared" si="73"/>
        <v>0</v>
      </c>
      <c r="U82" s="337">
        <f t="shared" ref="U82:V82" si="74">U14/U$114</f>
        <v>0</v>
      </c>
      <c r="V82" s="338">
        <f t="shared" si="74"/>
        <v>0</v>
      </c>
      <c r="X82" s="9"/>
      <c r="Y82" s="9"/>
    </row>
    <row r="83" spans="1:25">
      <c r="B83" s="335" t="s">
        <v>245</v>
      </c>
      <c r="C83" s="336">
        <f t="shared" ref="C83:T83" si="75">C15/C$114</f>
        <v>9.3339544655759513E-3</v>
      </c>
      <c r="D83" s="336">
        <f t="shared" si="75"/>
        <v>4.6733042785159079E-3</v>
      </c>
      <c r="E83" s="336">
        <f t="shared" si="75"/>
        <v>3.9323478248510166E-3</v>
      </c>
      <c r="F83" s="336">
        <f t="shared" si="75"/>
        <v>5.2628042063170262E-3</v>
      </c>
      <c r="G83" s="336">
        <f t="shared" si="75"/>
        <v>3.5220888303736085E-3</v>
      </c>
      <c r="H83" s="336">
        <f t="shared" si="75"/>
        <v>3.5471814580214996E-3</v>
      </c>
      <c r="I83" s="336">
        <f t="shared" si="75"/>
        <v>2.5811949557153204E-3</v>
      </c>
      <c r="J83" s="336">
        <f t="shared" si="75"/>
        <v>3.6645698091025323E-3</v>
      </c>
      <c r="K83" s="336">
        <f t="shared" si="75"/>
        <v>2.939964121090417E-3</v>
      </c>
      <c r="L83" s="336">
        <f t="shared" si="75"/>
        <v>6.1812492259235227E-3</v>
      </c>
      <c r="M83" s="336">
        <f t="shared" si="75"/>
        <v>8.9131068196306139E-3</v>
      </c>
      <c r="N83" s="337">
        <f t="shared" si="75"/>
        <v>1.0543878968811534E-2</v>
      </c>
      <c r="O83" s="337">
        <f t="shared" si="75"/>
        <v>8.3222322372189482E-3</v>
      </c>
      <c r="P83" s="337">
        <f t="shared" si="75"/>
        <v>3.2204459928079541E-3</v>
      </c>
      <c r="Q83" s="337">
        <f t="shared" si="75"/>
        <v>2.0502733555314875E-3</v>
      </c>
      <c r="R83" s="337">
        <f t="shared" si="75"/>
        <v>2.2519721677054247E-3</v>
      </c>
      <c r="S83" s="337">
        <f t="shared" si="75"/>
        <v>1.9001267705578886E-3</v>
      </c>
      <c r="T83" s="337">
        <f t="shared" si="75"/>
        <v>1.7747345335380295E-3</v>
      </c>
      <c r="U83" s="337">
        <f t="shared" ref="U83:V83" si="76">U15/U$114</f>
        <v>2.3192054707882048E-3</v>
      </c>
      <c r="V83" s="338">
        <f t="shared" si="76"/>
        <v>1.8513010016874836E-3</v>
      </c>
      <c r="X83" s="9"/>
      <c r="Y83" s="9"/>
    </row>
    <row r="84" spans="1:25" ht="25.5" customHeight="1">
      <c r="B84" s="331" t="s">
        <v>246</v>
      </c>
      <c r="C84" s="332">
        <f t="shared" ref="C84:T84" si="77">C16/C$114</f>
        <v>0.21869370458712953</v>
      </c>
      <c r="D84" s="332">
        <f t="shared" si="77"/>
        <v>0.21572916980459236</v>
      </c>
      <c r="E84" s="332">
        <f t="shared" si="77"/>
        <v>0.21976139018760768</v>
      </c>
      <c r="F84" s="332">
        <f t="shared" si="77"/>
        <v>0.21314734568166907</v>
      </c>
      <c r="G84" s="332">
        <f t="shared" si="77"/>
        <v>0.20250845002590204</v>
      </c>
      <c r="H84" s="332">
        <f t="shared" si="77"/>
        <v>0.20853094278602533</v>
      </c>
      <c r="I84" s="332">
        <f t="shared" si="77"/>
        <v>0.21760569960918483</v>
      </c>
      <c r="J84" s="332">
        <f t="shared" si="77"/>
        <v>0.2184460875651659</v>
      </c>
      <c r="K84" s="332">
        <f t="shared" si="77"/>
        <v>0.23898385428387015</v>
      </c>
      <c r="L84" s="332">
        <f t="shared" si="77"/>
        <v>0.25290620082015186</v>
      </c>
      <c r="M84" s="332">
        <f t="shared" si="77"/>
        <v>0.24684081316630818</v>
      </c>
      <c r="N84" s="333">
        <f t="shared" si="77"/>
        <v>0.24722280479092654</v>
      </c>
      <c r="O84" s="333">
        <f t="shared" si="77"/>
        <v>0.24098748496648525</v>
      </c>
      <c r="P84" s="333">
        <f t="shared" si="77"/>
        <v>0.24619964232052624</v>
      </c>
      <c r="Q84" s="333">
        <f t="shared" si="77"/>
        <v>0.23884030392896705</v>
      </c>
      <c r="R84" s="333">
        <f t="shared" si="77"/>
        <v>0.23415854732914632</v>
      </c>
      <c r="S84" s="333">
        <f t="shared" si="77"/>
        <v>0.23077464125360589</v>
      </c>
      <c r="T84" s="333">
        <f t="shared" si="77"/>
        <v>0.2314581538003295</v>
      </c>
      <c r="U84" s="333">
        <f t="shared" ref="U84:V84" si="78">U16/U$114</f>
        <v>0.24274703543775034</v>
      </c>
      <c r="V84" s="334">
        <f t="shared" si="78"/>
        <v>0.119237537782234</v>
      </c>
      <c r="X84" s="9"/>
      <c r="Y84" s="9"/>
    </row>
    <row r="85" spans="1:25">
      <c r="B85" s="335" t="s">
        <v>346</v>
      </c>
      <c r="C85" s="336">
        <f t="shared" ref="C85:T85" si="79">C17/C$114</f>
        <v>0.18170409158136708</v>
      </c>
      <c r="D85" s="336">
        <f t="shared" si="79"/>
        <v>0.16525911192563747</v>
      </c>
      <c r="E85" s="336">
        <f t="shared" si="79"/>
        <v>0.16402154421246046</v>
      </c>
      <c r="F85" s="336">
        <f t="shared" si="79"/>
        <v>0.17170181872546511</v>
      </c>
      <c r="G85" s="336">
        <f t="shared" si="79"/>
        <v>0.17564323294821568</v>
      </c>
      <c r="H85" s="336">
        <f t="shared" si="79"/>
        <v>0.17588158897938494</v>
      </c>
      <c r="I85" s="336">
        <f t="shared" si="79"/>
        <v>0.18143937239568525</v>
      </c>
      <c r="J85" s="336">
        <f t="shared" si="79"/>
        <v>0.18509084952134322</v>
      </c>
      <c r="K85" s="336">
        <f t="shared" si="79"/>
        <v>0.20222863201109256</v>
      </c>
      <c r="L85" s="336">
        <f t="shared" si="79"/>
        <v>0.21642092276051864</v>
      </c>
      <c r="M85" s="336">
        <f t="shared" si="79"/>
        <v>0.21012685681946799</v>
      </c>
      <c r="N85" s="337">
        <f t="shared" si="79"/>
        <v>0.21426713894777011</v>
      </c>
      <c r="O85" s="337">
        <f t="shared" si="79"/>
        <v>0.20435581353118723</v>
      </c>
      <c r="P85" s="337">
        <f t="shared" si="79"/>
        <v>0.21030215092360677</v>
      </c>
      <c r="Q85" s="337">
        <f t="shared" si="79"/>
        <v>0.20835923203595993</v>
      </c>
      <c r="R85" s="337">
        <f t="shared" si="79"/>
        <v>0.20384332143168601</v>
      </c>
      <c r="S85" s="337">
        <f t="shared" si="79"/>
        <v>0.19696538686649248</v>
      </c>
      <c r="T85" s="337">
        <f t="shared" si="79"/>
        <v>0.2016451408423951</v>
      </c>
      <c r="U85" s="337">
        <f t="shared" ref="U85:V85" si="80">U17/U$114</f>
        <v>0.20865336046603861</v>
      </c>
      <c r="V85" s="338">
        <f t="shared" si="80"/>
        <v>0.10330303112561279</v>
      </c>
      <c r="X85" s="9"/>
      <c r="Y85" s="9"/>
    </row>
    <row r="86" spans="1:25">
      <c r="B86" s="339" t="s">
        <v>321</v>
      </c>
      <c r="C86" s="336">
        <f t="shared" ref="C86:T86" si="81">C18/C$114</f>
        <v>0.12651241882641645</v>
      </c>
      <c r="D86" s="336">
        <f t="shared" si="81"/>
        <v>0.12381813844541802</v>
      </c>
      <c r="E86" s="336">
        <f t="shared" si="81"/>
        <v>0.12055251855823389</v>
      </c>
      <c r="F86" s="336">
        <f t="shared" si="81"/>
        <v>0.12593731902031807</v>
      </c>
      <c r="G86" s="336">
        <f t="shared" si="81"/>
        <v>0.12758865150045795</v>
      </c>
      <c r="H86" s="336">
        <f t="shared" si="81"/>
        <v>0.12825246806429447</v>
      </c>
      <c r="I86" s="336">
        <f t="shared" si="81"/>
        <v>0.12713837407632178</v>
      </c>
      <c r="J86" s="336">
        <f t="shared" si="81"/>
        <v>0.12561374086015314</v>
      </c>
      <c r="K86" s="336">
        <f t="shared" si="81"/>
        <v>0.13070321377647834</v>
      </c>
      <c r="L86" s="336">
        <f t="shared" si="81"/>
        <v>0.14392425242676529</v>
      </c>
      <c r="M86" s="336">
        <f t="shared" si="81"/>
        <v>0.1438563675816027</v>
      </c>
      <c r="N86" s="337">
        <f t="shared" si="81"/>
        <v>0.14100032132008927</v>
      </c>
      <c r="O86" s="337">
        <f t="shared" si="81"/>
        <v>0.13535212540952904</v>
      </c>
      <c r="P86" s="337">
        <f t="shared" si="81"/>
        <v>0.14445948457775379</v>
      </c>
      <c r="Q86" s="337">
        <f t="shared" si="81"/>
        <v>0.14566986942764878</v>
      </c>
      <c r="R86" s="337">
        <f t="shared" si="81"/>
        <v>0.14445285302885372</v>
      </c>
      <c r="S86" s="337">
        <f t="shared" si="81"/>
        <v>0.14626093753162503</v>
      </c>
      <c r="T86" s="337">
        <f t="shared" si="81"/>
        <v>0.14309715655687166</v>
      </c>
      <c r="U86" s="337">
        <f t="shared" ref="U86:V86" si="82">U18/U$114</f>
        <v>0.1442523873057811</v>
      </c>
      <c r="V86" s="338">
        <f t="shared" si="82"/>
        <v>6.8707372800106983E-2</v>
      </c>
      <c r="X86" s="9"/>
      <c r="Y86" s="9"/>
    </row>
    <row r="87" spans="1:25">
      <c r="B87" s="340" t="s">
        <v>322</v>
      </c>
      <c r="C87" s="336">
        <f t="shared" ref="C87:T87" si="83">C19/C$114</f>
        <v>9.4544473323133871E-2</v>
      </c>
      <c r="D87" s="336">
        <f t="shared" si="83"/>
        <v>8.8287999296561864E-2</v>
      </c>
      <c r="E87" s="336">
        <f t="shared" si="83"/>
        <v>8.3321554714513912E-2</v>
      </c>
      <c r="F87" s="336">
        <f t="shared" si="83"/>
        <v>8.3283687798675468E-2</v>
      </c>
      <c r="G87" s="336">
        <f t="shared" si="83"/>
        <v>8.4431769911568907E-2</v>
      </c>
      <c r="H87" s="336">
        <f t="shared" si="83"/>
        <v>8.2008932769900678E-2</v>
      </c>
      <c r="I87" s="336">
        <f t="shared" si="83"/>
        <v>8.2203690150369782E-2</v>
      </c>
      <c r="J87" s="336">
        <f t="shared" si="83"/>
        <v>8.2800269968234308E-2</v>
      </c>
      <c r="K87" s="336">
        <f t="shared" si="83"/>
        <v>8.496674560074588E-2</v>
      </c>
      <c r="L87" s="336">
        <f t="shared" si="83"/>
        <v>9.4264050695333737E-2</v>
      </c>
      <c r="M87" s="336">
        <f t="shared" si="83"/>
        <v>9.2696627402682807E-2</v>
      </c>
      <c r="N87" s="337">
        <f t="shared" si="83"/>
        <v>9.5066287420441375E-2</v>
      </c>
      <c r="O87" s="337">
        <f t="shared" si="83"/>
        <v>9.3350855364055699E-2</v>
      </c>
      <c r="P87" s="337">
        <f t="shared" si="83"/>
        <v>9.6234782773375993E-2</v>
      </c>
      <c r="Q87" s="337">
        <f t="shared" si="83"/>
        <v>9.8781769272415873E-2</v>
      </c>
      <c r="R87" s="337">
        <f t="shared" si="83"/>
        <v>9.9172787022895059E-2</v>
      </c>
      <c r="S87" s="337">
        <f t="shared" si="83"/>
        <v>0.10088945603680698</v>
      </c>
      <c r="T87" s="337">
        <f t="shared" si="83"/>
        <v>0.1007240381679495</v>
      </c>
      <c r="U87" s="337">
        <f t="shared" ref="U87:V87" si="84">U19/U$114</f>
        <v>0.10138732205026568</v>
      </c>
      <c r="V87" s="338">
        <f t="shared" si="84"/>
        <v>4.8988222566447012E-2</v>
      </c>
      <c r="X87" s="9"/>
      <c r="Y87" s="9"/>
    </row>
    <row r="88" spans="1:25">
      <c r="B88" s="340" t="s">
        <v>323</v>
      </c>
      <c r="C88" s="336">
        <f t="shared" ref="C88:T88" si="85">C20/C$114</f>
        <v>3.196794550328258E-2</v>
      </c>
      <c r="D88" s="336">
        <f t="shared" si="85"/>
        <v>3.5530139148856138E-2</v>
      </c>
      <c r="E88" s="336">
        <f t="shared" si="85"/>
        <v>3.7230963843719968E-2</v>
      </c>
      <c r="F88" s="336">
        <f t="shared" si="85"/>
        <v>4.2653631221642584E-2</v>
      </c>
      <c r="G88" s="336">
        <f t="shared" si="85"/>
        <v>4.3156881588889029E-2</v>
      </c>
      <c r="H88" s="336">
        <f t="shared" si="85"/>
        <v>4.6243535294393789E-2</v>
      </c>
      <c r="I88" s="336">
        <f t="shared" si="85"/>
        <v>4.4934683925951999E-2</v>
      </c>
      <c r="J88" s="336">
        <f t="shared" si="85"/>
        <v>4.281347089191883E-2</v>
      </c>
      <c r="K88" s="336">
        <f t="shared" si="85"/>
        <v>4.5736468175732438E-2</v>
      </c>
      <c r="L88" s="336">
        <f t="shared" si="85"/>
        <v>4.9660201731431541E-2</v>
      </c>
      <c r="M88" s="336">
        <f t="shared" si="85"/>
        <v>5.1159740178919902E-2</v>
      </c>
      <c r="N88" s="337">
        <f t="shared" si="85"/>
        <v>4.5934033899647897E-2</v>
      </c>
      <c r="O88" s="337">
        <f t="shared" si="85"/>
        <v>4.2001270045473348E-2</v>
      </c>
      <c r="P88" s="337">
        <f t="shared" si="85"/>
        <v>4.8224701804377795E-2</v>
      </c>
      <c r="Q88" s="337">
        <f t="shared" si="85"/>
        <v>4.6888100155232891E-2</v>
      </c>
      <c r="R88" s="337">
        <f t="shared" si="85"/>
        <v>4.5280066005958651E-2</v>
      </c>
      <c r="S88" s="337">
        <f t="shared" si="85"/>
        <v>4.537148149481806E-2</v>
      </c>
      <c r="T88" s="337">
        <f t="shared" si="85"/>
        <v>4.237311838892216E-2</v>
      </c>
      <c r="U88" s="337">
        <f t="shared" ref="U88:V88" si="86">U20/U$114</f>
        <v>4.2865065255515422E-2</v>
      </c>
      <c r="V88" s="338">
        <f t="shared" si="86"/>
        <v>1.9719150233659982E-2</v>
      </c>
      <c r="X88" s="9"/>
      <c r="Y88" s="9"/>
    </row>
    <row r="89" spans="1:25">
      <c r="B89" s="339" t="s">
        <v>324</v>
      </c>
      <c r="C89" s="336">
        <f t="shared" ref="C89:T89" si="87">C21/C$114</f>
        <v>1.7236419732658572E-2</v>
      </c>
      <c r="D89" s="336">
        <f t="shared" si="87"/>
        <v>1.6283290169044975E-2</v>
      </c>
      <c r="E89" s="336">
        <f t="shared" si="87"/>
        <v>1.9393265577980115E-2</v>
      </c>
      <c r="F89" s="336">
        <f t="shared" si="87"/>
        <v>2.3188051244762684E-2</v>
      </c>
      <c r="G89" s="336">
        <f t="shared" si="87"/>
        <v>2.4367550443321256E-2</v>
      </c>
      <c r="H89" s="336">
        <f t="shared" si="87"/>
        <v>2.6495892165600766E-2</v>
      </c>
      <c r="I89" s="336">
        <f t="shared" si="87"/>
        <v>2.8428320444703059E-2</v>
      </c>
      <c r="J89" s="336">
        <f t="shared" si="87"/>
        <v>2.9823677387100091E-2</v>
      </c>
      <c r="K89" s="336">
        <f t="shared" si="87"/>
        <v>2.8888975016247948E-2</v>
      </c>
      <c r="L89" s="336">
        <f t="shared" si="87"/>
        <v>3.0163132711648132E-2</v>
      </c>
      <c r="M89" s="336">
        <f t="shared" si="87"/>
        <v>2.7532913376684204E-2</v>
      </c>
      <c r="N89" s="337">
        <f t="shared" si="87"/>
        <v>2.5532494318120193E-2</v>
      </c>
      <c r="O89" s="337">
        <f t="shared" si="87"/>
        <v>2.5082410363716702E-2</v>
      </c>
      <c r="P89" s="337">
        <f t="shared" si="87"/>
        <v>2.7000953721438261E-2</v>
      </c>
      <c r="Q89" s="337">
        <f t="shared" si="87"/>
        <v>2.7015580099028613E-2</v>
      </c>
      <c r="R89" s="337">
        <f t="shared" si="87"/>
        <v>2.7296835467978824E-2</v>
      </c>
      <c r="S89" s="337">
        <f t="shared" si="87"/>
        <v>2.919889210183339E-2</v>
      </c>
      <c r="T89" s="337">
        <f t="shared" si="87"/>
        <v>3.2085169656815217E-2</v>
      </c>
      <c r="U89" s="337">
        <f t="shared" ref="U89:V89" si="88">U21/U$114</f>
        <v>3.5463771512635044E-2</v>
      </c>
      <c r="V89" s="338">
        <f t="shared" si="88"/>
        <v>1.8610381400861443E-2</v>
      </c>
      <c r="X89" s="9"/>
      <c r="Y89" s="9"/>
    </row>
    <row r="90" spans="1:25">
      <c r="B90" s="339" t="s">
        <v>325</v>
      </c>
      <c r="C90" s="336">
        <f t="shared" ref="C90:T90" si="89">C22/C$114</f>
        <v>3.7955253022292031E-2</v>
      </c>
      <c r="D90" s="336">
        <f t="shared" si="89"/>
        <v>2.5157683311174489E-2</v>
      </c>
      <c r="E90" s="336">
        <f t="shared" si="89"/>
        <v>2.4075760076246483E-2</v>
      </c>
      <c r="F90" s="336">
        <f t="shared" si="89"/>
        <v>2.2576448460384375E-2</v>
      </c>
      <c r="G90" s="336">
        <f t="shared" si="89"/>
        <v>2.3687031004436494E-2</v>
      </c>
      <c r="H90" s="336">
        <f t="shared" si="89"/>
        <v>2.1133228749489724E-2</v>
      </c>
      <c r="I90" s="336">
        <f t="shared" si="89"/>
        <v>2.5872677874660389E-2</v>
      </c>
      <c r="J90" s="336">
        <f t="shared" si="89"/>
        <v>2.9653431274089967E-2</v>
      </c>
      <c r="K90" s="336">
        <f t="shared" si="89"/>
        <v>4.2636443218366273E-2</v>
      </c>
      <c r="L90" s="336">
        <f t="shared" si="89"/>
        <v>4.2333537622105233E-2</v>
      </c>
      <c r="M90" s="336">
        <f t="shared" si="89"/>
        <v>3.8737575861181102E-2</v>
      </c>
      <c r="N90" s="337">
        <f t="shared" si="89"/>
        <v>4.773432330956065E-2</v>
      </c>
      <c r="O90" s="337">
        <f t="shared" si="89"/>
        <v>4.3921277757941468E-2</v>
      </c>
      <c r="P90" s="337">
        <f t="shared" si="89"/>
        <v>3.8841712624414756E-2</v>
      </c>
      <c r="Q90" s="337">
        <f t="shared" si="89"/>
        <v>3.5673782509282548E-2</v>
      </c>
      <c r="R90" s="337">
        <f t="shared" si="89"/>
        <v>3.2093632934853476E-2</v>
      </c>
      <c r="S90" s="337">
        <f t="shared" si="89"/>
        <v>2.1505557233034048E-2</v>
      </c>
      <c r="T90" s="337">
        <f t="shared" si="89"/>
        <v>2.6462814628708236E-2</v>
      </c>
      <c r="U90" s="337">
        <f t="shared" ref="U90:V90" si="90">U22/U$114</f>
        <v>2.8937201647622479E-2</v>
      </c>
      <c r="V90" s="338">
        <f t="shared" si="90"/>
        <v>1.5985276924644343E-2</v>
      </c>
      <c r="X90" s="9"/>
      <c r="Y90" s="9"/>
    </row>
    <row r="91" spans="1:25">
      <c r="B91" s="335" t="s">
        <v>259</v>
      </c>
      <c r="C91" s="336">
        <f t="shared" ref="C91:S91" si="91">C23/C$114</f>
        <v>3.7010826538638748E-2</v>
      </c>
      <c r="D91" s="336">
        <f t="shared" si="91"/>
        <v>5.0453774588785853E-2</v>
      </c>
      <c r="E91" s="336">
        <f t="shared" si="91"/>
        <v>5.576353481746562E-2</v>
      </c>
      <c r="F91" s="336">
        <f t="shared" si="91"/>
        <v>4.1490830866157909E-2</v>
      </c>
      <c r="G91" s="336">
        <f t="shared" si="91"/>
        <v>2.6893632771601211E-2</v>
      </c>
      <c r="H91" s="336">
        <f t="shared" si="91"/>
        <v>3.2742812487413259E-2</v>
      </c>
      <c r="I91" s="336">
        <f t="shared" si="91"/>
        <v>3.6215702552955052E-2</v>
      </c>
      <c r="J91" s="336">
        <f t="shared" si="91"/>
        <v>3.3404558738048699E-2</v>
      </c>
      <c r="K91" s="336">
        <f t="shared" si="91"/>
        <v>3.6789352428685564E-2</v>
      </c>
      <c r="L91" s="336">
        <f t="shared" si="91"/>
        <v>3.6536409716832877E-2</v>
      </c>
      <c r="M91" s="336">
        <f t="shared" si="91"/>
        <v>3.6741241074332506E-2</v>
      </c>
      <c r="N91" s="337">
        <f t="shared" si="91"/>
        <v>3.2970143722526081E-2</v>
      </c>
      <c r="O91" s="337">
        <f t="shared" si="91"/>
        <v>3.6653527084865668E-2</v>
      </c>
      <c r="P91" s="337">
        <f t="shared" si="91"/>
        <v>3.5923592015992031E-2</v>
      </c>
      <c r="Q91" s="337">
        <f t="shared" si="91"/>
        <v>3.0502013425671225E-2</v>
      </c>
      <c r="R91" s="337">
        <f t="shared" si="91"/>
        <v>3.0325291593092694E-2</v>
      </c>
      <c r="S91" s="337">
        <f t="shared" si="91"/>
        <v>3.3828940543630878E-2</v>
      </c>
      <c r="T91" s="337">
        <f t="shared" ref="T91" si="92">T23/T$114</f>
        <v>2.9827761775026208E-2</v>
      </c>
      <c r="U91" s="337">
        <f t="shared" ref="U91:V91" si="93">U23/U$114</f>
        <v>3.4100111110414118E-2</v>
      </c>
      <c r="V91" s="338">
        <f t="shared" si="93"/>
        <v>1.5934969523779367E-2</v>
      </c>
      <c r="X91" s="9"/>
      <c r="Y91" s="9"/>
    </row>
    <row r="92" spans="1:25">
      <c r="B92" s="339" t="s">
        <v>260</v>
      </c>
      <c r="C92" s="336">
        <f t="shared" ref="C92:S92" si="94">C24/C$114</f>
        <v>3.2257298091715431E-2</v>
      </c>
      <c r="D92" s="336">
        <f t="shared" si="94"/>
        <v>4.9037128344078938E-2</v>
      </c>
      <c r="E92" s="336">
        <f t="shared" si="94"/>
        <v>4.8119935029401796E-2</v>
      </c>
      <c r="F92" s="336">
        <f t="shared" si="94"/>
        <v>4.0894329385097586E-2</v>
      </c>
      <c r="G92" s="336">
        <f t="shared" si="94"/>
        <v>2.4371193481002654E-2</v>
      </c>
      <c r="H92" s="336">
        <f t="shared" si="94"/>
        <v>2.9225272111171589E-2</v>
      </c>
      <c r="I92" s="336">
        <f t="shared" si="94"/>
        <v>3.1250043414048474E-2</v>
      </c>
      <c r="J92" s="336">
        <f t="shared" si="94"/>
        <v>2.8067472245477388E-2</v>
      </c>
      <c r="K92" s="336">
        <f t="shared" si="94"/>
        <v>3.2360821949542144E-2</v>
      </c>
      <c r="L92" s="336">
        <f t="shared" si="94"/>
        <v>3.3025369255784413E-2</v>
      </c>
      <c r="M92" s="336">
        <f t="shared" si="94"/>
        <v>3.3666986105208616E-2</v>
      </c>
      <c r="N92" s="337">
        <f t="shared" si="94"/>
        <v>3.0522741814203273E-2</v>
      </c>
      <c r="O92" s="337">
        <f t="shared" si="94"/>
        <v>3.4009429439426912E-2</v>
      </c>
      <c r="P92" s="337">
        <f t="shared" si="94"/>
        <v>3.3036003124465696E-2</v>
      </c>
      <c r="Q92" s="337">
        <f t="shared" si="94"/>
        <v>2.7644984166774741E-2</v>
      </c>
      <c r="R92" s="337">
        <f t="shared" si="94"/>
        <v>2.7764343324366031E-2</v>
      </c>
      <c r="S92" s="337">
        <f t="shared" si="94"/>
        <v>3.1370826267012944E-2</v>
      </c>
      <c r="T92" s="337">
        <f t="shared" ref="T92" si="95">T24/T$114</f>
        <v>2.6734949219892355E-2</v>
      </c>
      <c r="U92" s="337">
        <f t="shared" ref="U92:V92" si="96">U24/U$114</f>
        <v>3.1510908852205748E-2</v>
      </c>
      <c r="V92" s="338">
        <f t="shared" si="96"/>
        <v>1.4632455958345595E-2</v>
      </c>
      <c r="X92" s="9"/>
      <c r="Y92" s="9"/>
    </row>
    <row r="93" spans="1:25">
      <c r="B93" s="339" t="s">
        <v>326</v>
      </c>
      <c r="C93" s="336">
        <f t="shared" ref="C93:S93" si="97">C25/C$114</f>
        <v>4.7535284469233169E-3</v>
      </c>
      <c r="D93" s="336">
        <f t="shared" si="97"/>
        <v>1.4166462447069129E-3</v>
      </c>
      <c r="E93" s="336">
        <f t="shared" si="97"/>
        <v>7.6435997880638235E-3</v>
      </c>
      <c r="F93" s="336">
        <f t="shared" si="97"/>
        <v>5.9650148106032291E-4</v>
      </c>
      <c r="G93" s="336">
        <f t="shared" si="97"/>
        <v>2.5224392905985583E-3</v>
      </c>
      <c r="H93" s="336">
        <f t="shared" si="97"/>
        <v>3.5175403762416654E-3</v>
      </c>
      <c r="I93" s="336">
        <f t="shared" si="97"/>
        <v>4.9656591389065806E-3</v>
      </c>
      <c r="J93" s="336">
        <f t="shared" si="97"/>
        <v>5.3370864925713114E-3</v>
      </c>
      <c r="K93" s="336">
        <f t="shared" si="97"/>
        <v>4.4285304791434211E-3</v>
      </c>
      <c r="L93" s="336">
        <f t="shared" si="97"/>
        <v>3.5110404610484715E-3</v>
      </c>
      <c r="M93" s="336">
        <f t="shared" si="97"/>
        <v>3.0742549691238903E-3</v>
      </c>
      <c r="N93" s="337">
        <f t="shared" si="97"/>
        <v>2.4474019083228081E-3</v>
      </c>
      <c r="O93" s="337">
        <f t="shared" si="97"/>
        <v>2.6440976454387534E-3</v>
      </c>
      <c r="P93" s="337">
        <f t="shared" si="97"/>
        <v>2.8875888915263362E-3</v>
      </c>
      <c r="Q93" s="337">
        <f t="shared" si="97"/>
        <v>2.8570292588964864E-3</v>
      </c>
      <c r="R93" s="337">
        <f t="shared" si="97"/>
        <v>2.5609482687266624E-3</v>
      </c>
      <c r="S93" s="337">
        <f t="shared" si="97"/>
        <v>2.4581142766179334E-3</v>
      </c>
      <c r="T93" s="337">
        <f t="shared" ref="T93" si="98">T25/T$114</f>
        <v>3.0928125551338511E-3</v>
      </c>
      <c r="U93" s="337">
        <f t="shared" ref="U93:V93" si="99">U25/U$114</f>
        <v>2.5892022582083701E-3</v>
      </c>
      <c r="V93" s="338">
        <f t="shared" si="99"/>
        <v>1.3025135654337724E-3</v>
      </c>
      <c r="X93" s="9"/>
      <c r="Y93" s="9"/>
    </row>
    <row r="94" spans="1:25">
      <c r="B94" s="335" t="s">
        <v>327</v>
      </c>
      <c r="C94" s="336">
        <f t="shared" ref="C94:S94" si="100">C26/C$114</f>
        <v>-2.1213532876308981E-5</v>
      </c>
      <c r="D94" s="336">
        <f t="shared" si="100"/>
        <v>1.6283290169044977E-5</v>
      </c>
      <c r="E94" s="336">
        <f t="shared" si="100"/>
        <v>-2.3688842318379618E-5</v>
      </c>
      <c r="F94" s="336">
        <f t="shared" si="100"/>
        <v>-4.5303909953948573E-5</v>
      </c>
      <c r="G94" s="336">
        <f t="shared" si="100"/>
        <v>-2.8415693914888442E-5</v>
      </c>
      <c r="H94" s="336">
        <f t="shared" si="100"/>
        <v>-9.3458680772894273E-5</v>
      </c>
      <c r="I94" s="336">
        <f t="shared" si="100"/>
        <v>-4.9375339455458758E-5</v>
      </c>
      <c r="J94" s="336">
        <f t="shared" si="100"/>
        <v>-4.9320694226049648E-5</v>
      </c>
      <c r="K94" s="336">
        <f t="shared" si="100"/>
        <v>-3.4130155907997436E-5</v>
      </c>
      <c r="L94" s="336">
        <f t="shared" si="100"/>
        <v>-5.113165719973503E-5</v>
      </c>
      <c r="M94" s="336">
        <f t="shared" si="100"/>
        <v>-2.72847274923135E-5</v>
      </c>
      <c r="N94" s="337">
        <f t="shared" si="100"/>
        <v>-1.4477879369624399E-5</v>
      </c>
      <c r="O94" s="337">
        <f t="shared" si="100"/>
        <v>-2.1855649567593981E-5</v>
      </c>
      <c r="P94" s="337">
        <f t="shared" si="100"/>
        <v>-2.6100619072564365E-5</v>
      </c>
      <c r="Q94" s="337">
        <f t="shared" si="100"/>
        <v>-2.0941532664083911E-5</v>
      </c>
      <c r="R94" s="337">
        <f t="shared" si="100"/>
        <v>-1.0065695632436564E-5</v>
      </c>
      <c r="S94" s="337">
        <f t="shared" si="100"/>
        <v>-1.9686156517462247E-5</v>
      </c>
      <c r="T94" s="337">
        <f t="shared" ref="T94" si="101">T26/T$114</f>
        <v>-1.4748817091804907E-5</v>
      </c>
      <c r="U94" s="337">
        <f t="shared" ref="U94:V94" si="102">U26/U$114</f>
        <v>-6.4361387023956001E-6</v>
      </c>
      <c r="V94" s="338">
        <f t="shared" si="102"/>
        <v>-4.6286715813549788E-7</v>
      </c>
      <c r="X94" s="9"/>
      <c r="Y94" s="9"/>
    </row>
    <row r="95" spans="1:25" ht="25.5" customHeight="1">
      <c r="B95" s="331" t="s">
        <v>269</v>
      </c>
      <c r="C95" s="332">
        <f t="shared" ref="C95:S95" si="103">C27/C$114</f>
        <v>-6.8027557227747703E-3</v>
      </c>
      <c r="D95" s="332">
        <f t="shared" si="103"/>
        <v>4.7465790842766255E-3</v>
      </c>
      <c r="E95" s="332">
        <f t="shared" si="103"/>
        <v>9.1754782579856909E-3</v>
      </c>
      <c r="F95" s="332">
        <f t="shared" si="103"/>
        <v>1.2722848045400558E-2</v>
      </c>
      <c r="G95" s="332">
        <f t="shared" si="103"/>
        <v>1.5846485306536106E-2</v>
      </c>
      <c r="H95" s="332">
        <f t="shared" si="103"/>
        <v>1.679960768886922E-2</v>
      </c>
      <c r="I95" s="332">
        <f t="shared" si="103"/>
        <v>2.1314396536476175E-2</v>
      </c>
      <c r="J95" s="332">
        <f t="shared" si="103"/>
        <v>2.5231519101520369E-2</v>
      </c>
      <c r="K95" s="332">
        <f t="shared" si="103"/>
        <v>1.3639155300110168E-2</v>
      </c>
      <c r="L95" s="332">
        <f t="shared" si="103"/>
        <v>-1.6575681242976505E-2</v>
      </c>
      <c r="M95" s="332">
        <f t="shared" si="103"/>
        <v>-2.5599241796113513E-3</v>
      </c>
      <c r="N95" s="333">
        <f t="shared" si="103"/>
        <v>-2.2959767215577857E-3</v>
      </c>
      <c r="O95" s="333">
        <f t="shared" si="103"/>
        <v>9.8521136828274205E-3</v>
      </c>
      <c r="P95" s="333">
        <f t="shared" si="103"/>
        <v>8.2515516492595552E-3</v>
      </c>
      <c r="Q95" s="333">
        <f t="shared" si="103"/>
        <v>8.9551187912922797E-3</v>
      </c>
      <c r="R95" s="333">
        <f t="shared" si="103"/>
        <v>1.2446053675007526E-2</v>
      </c>
      <c r="S95" s="333">
        <f t="shared" si="103"/>
        <v>2.2366837017972759E-2</v>
      </c>
      <c r="T95" s="333">
        <f t="shared" ref="T95" si="104">T27/T$114</f>
        <v>2.5155537056928405E-2</v>
      </c>
      <c r="U95" s="333">
        <f t="shared" ref="U95:V95" si="105">U27/U$114</f>
        <v>1.9169494822501163E-2</v>
      </c>
      <c r="V95" s="334">
        <f t="shared" si="105"/>
        <v>1.6889244473054052E-2</v>
      </c>
      <c r="X95" s="9"/>
      <c r="Y95" s="9"/>
    </row>
    <row r="96" spans="1:25" ht="24.75" customHeight="1">
      <c r="A96" s="55"/>
      <c r="B96" s="341" t="s">
        <v>735</v>
      </c>
      <c r="C96" s="332"/>
      <c r="D96" s="332"/>
      <c r="E96" s="332"/>
      <c r="F96" s="332"/>
      <c r="G96" s="332"/>
      <c r="H96" s="332"/>
      <c r="I96" s="332"/>
      <c r="J96" s="332"/>
      <c r="K96" s="332"/>
      <c r="L96" s="332"/>
      <c r="M96" s="332"/>
      <c r="N96" s="333"/>
      <c r="O96" s="333"/>
      <c r="P96" s="333"/>
      <c r="Q96" s="333"/>
      <c r="R96" s="333"/>
      <c r="S96" s="333"/>
      <c r="T96" s="333"/>
      <c r="U96" s="333"/>
      <c r="V96" s="334"/>
      <c r="X96" s="9"/>
      <c r="Y96" s="9"/>
    </row>
    <row r="97" spans="1:25" ht="18" customHeight="1">
      <c r="A97" s="55"/>
      <c r="B97" s="342" t="s">
        <v>733</v>
      </c>
      <c r="C97" s="332">
        <f t="shared" ref="C97:E97" si="106">C29/C$114</f>
        <v>-1.657710313086291E-2</v>
      </c>
      <c r="D97" s="332">
        <f t="shared" si="106"/>
        <v>-2.4669184606103102E-2</v>
      </c>
      <c r="E97" s="332">
        <f t="shared" si="106"/>
        <v>-1.811406809278758E-2</v>
      </c>
      <c r="F97" s="332">
        <f t="shared" ref="F97:U97" si="107">F29/F$114</f>
        <v>-2.4162085308773777E-4</v>
      </c>
      <c r="G97" s="332">
        <f t="shared" si="107"/>
        <v>1.6878193577907423E-2</v>
      </c>
      <c r="H97" s="332">
        <f t="shared" si="107"/>
        <v>1.4202596862226141E-2</v>
      </c>
      <c r="I97" s="332">
        <f t="shared" si="107"/>
        <v>1.616064724444979E-2</v>
      </c>
      <c r="J97" s="332">
        <f t="shared" si="107"/>
        <v>2.5365335099169051E-2</v>
      </c>
      <c r="K97" s="332">
        <f t="shared" si="107"/>
        <v>8.718124561833563E-3</v>
      </c>
      <c r="L97" s="332">
        <f t="shared" si="107"/>
        <v>-1.6716577365038031E-2</v>
      </c>
      <c r="M97" s="332">
        <f t="shared" si="107"/>
        <v>-2.8153277362182689E-3</v>
      </c>
      <c r="N97" s="333">
        <f t="shared" si="107"/>
        <v>8.3276629891967425E-4</v>
      </c>
      <c r="O97" s="333">
        <f t="shared" si="107"/>
        <v>6.6333487482319242E-3</v>
      </c>
      <c r="P97" s="333">
        <f t="shared" si="107"/>
        <v>2.57593989106438E-3</v>
      </c>
      <c r="Q97" s="333">
        <f t="shared" si="107"/>
        <v>7.5415304079010145E-3</v>
      </c>
      <c r="R97" s="333">
        <f t="shared" si="107"/>
        <v>1.1679635413231484E-2</v>
      </c>
      <c r="S97" s="333">
        <f t="shared" si="107"/>
        <v>1.9659478969652821E-2</v>
      </c>
      <c r="T97" s="333">
        <f t="shared" si="107"/>
        <v>2.920242828934726E-2</v>
      </c>
      <c r="U97" s="333">
        <f t="shared" si="107"/>
        <v>2.2858796834212689E-2</v>
      </c>
      <c r="V97" s="334">
        <f t="shared" ref="V97" si="108">V29/V$114</f>
        <v>2.1416420218981748E-2</v>
      </c>
      <c r="X97" s="9"/>
      <c r="Y97" s="9"/>
    </row>
    <row r="98" spans="1:25" ht="18" customHeight="1">
      <c r="A98" s="55"/>
      <c r="B98" s="342" t="s">
        <v>734</v>
      </c>
      <c r="C98" s="332">
        <f t="shared" ref="C98:E98" si="109">C30/C$114</f>
        <v>-1.657710313086291E-2</v>
      </c>
      <c r="D98" s="332">
        <f t="shared" si="109"/>
        <v>-3.3030654107907696E-2</v>
      </c>
      <c r="E98" s="332">
        <f t="shared" si="109"/>
        <v>-3.0542814029164086E-2</v>
      </c>
      <c r="F98" s="332">
        <f t="shared" ref="F98:U98" si="110">F30/F$114</f>
        <v>-1.9095598045589336E-2</v>
      </c>
      <c r="G98" s="332">
        <f t="shared" si="110"/>
        <v>-3.2678048002122012E-3</v>
      </c>
      <c r="H98" s="332">
        <f t="shared" si="110"/>
        <v>-8.0521316722683509E-3</v>
      </c>
      <c r="I98" s="332">
        <f t="shared" si="110"/>
        <v>-5.6770028893948837E-3</v>
      </c>
      <c r="J98" s="332">
        <f t="shared" si="110"/>
        <v>6.5959551118073721E-3</v>
      </c>
      <c r="K98" s="332">
        <f t="shared" si="110"/>
        <v>-9.1115280351412326E-3</v>
      </c>
      <c r="L98" s="332">
        <f t="shared" si="110"/>
        <v>-3.6373858910713944E-2</v>
      </c>
      <c r="M98" s="332">
        <f t="shared" si="110"/>
        <v>-2.2174677062321159E-2</v>
      </c>
      <c r="N98" s="333">
        <f t="shared" si="110"/>
        <v>-1.9162958824306863E-2</v>
      </c>
      <c r="O98" s="333">
        <f t="shared" si="110"/>
        <v>-1.2972798220717606E-2</v>
      </c>
      <c r="P98" s="333">
        <f t="shared" si="110"/>
        <v>-1.7535516769763525E-2</v>
      </c>
      <c r="Q98" s="333">
        <f t="shared" si="110"/>
        <v>-1.3127537996022776E-2</v>
      </c>
      <c r="R98" s="333">
        <f t="shared" si="110"/>
        <v>-9.0220140122373189E-3</v>
      </c>
      <c r="S98" s="333">
        <f t="shared" si="110"/>
        <v>-1.8641600727296165E-3</v>
      </c>
      <c r="T98" s="333">
        <f t="shared" si="110"/>
        <v>6.7221805070368703E-3</v>
      </c>
      <c r="U98" s="333">
        <f t="shared" si="110"/>
        <v>8.8127308775040325E-3</v>
      </c>
      <c r="V98" s="334">
        <f t="shared" ref="V98" si="111">V30/V$114</f>
        <v>1.5330730669089221E-2</v>
      </c>
      <c r="X98" s="9"/>
      <c r="Y98" s="9"/>
    </row>
    <row r="99" spans="1:25" ht="25.5" customHeight="1">
      <c r="B99" s="332" t="s">
        <v>328</v>
      </c>
      <c r="C99" s="336"/>
      <c r="D99" s="336"/>
      <c r="E99" s="336"/>
      <c r="F99" s="336"/>
      <c r="G99" s="336"/>
      <c r="H99" s="336"/>
      <c r="I99" s="336"/>
      <c r="J99" s="336"/>
      <c r="K99" s="336"/>
      <c r="L99" s="336"/>
      <c r="M99" s="336"/>
      <c r="N99" s="337"/>
      <c r="O99" s="337"/>
      <c r="P99" s="337"/>
      <c r="Q99" s="337"/>
      <c r="R99" s="337"/>
      <c r="S99" s="337"/>
      <c r="T99" s="337"/>
      <c r="U99" s="337"/>
      <c r="V99" s="338"/>
      <c r="X99" s="9"/>
      <c r="Y99" s="9"/>
    </row>
    <row r="100" spans="1:25" ht="18" customHeight="1">
      <c r="B100" s="342" t="s">
        <v>329</v>
      </c>
      <c r="C100" s="332">
        <f t="shared" ref="C100:S100" si="112">C32/C$114</f>
        <v>-3.3813522863521482E-2</v>
      </c>
      <c r="D100" s="332">
        <f t="shared" si="112"/>
        <v>-4.095247477514808E-2</v>
      </c>
      <c r="E100" s="332">
        <f t="shared" si="112"/>
        <v>-3.7507333670767695E-2</v>
      </c>
      <c r="F100" s="332">
        <f t="shared" si="112"/>
        <v>-2.3429672097850421E-2</v>
      </c>
      <c r="G100" s="332">
        <f t="shared" si="112"/>
        <v>-7.4893568654138326E-3</v>
      </c>
      <c r="H100" s="332">
        <f t="shared" si="112"/>
        <v>-1.2293295303374625E-2</v>
      </c>
      <c r="I100" s="332">
        <f t="shared" si="112"/>
        <v>-1.226767320025327E-2</v>
      </c>
      <c r="J100" s="332">
        <f t="shared" si="112"/>
        <v>-4.4583422879310424E-3</v>
      </c>
      <c r="K100" s="332">
        <f t="shared" si="112"/>
        <v>-2.0170850454414385E-2</v>
      </c>
      <c r="L100" s="332">
        <f t="shared" si="112"/>
        <v>-4.6879710076686162E-2</v>
      </c>
      <c r="M100" s="332">
        <f t="shared" si="112"/>
        <v>-3.0348241112902474E-2</v>
      </c>
      <c r="N100" s="333">
        <f t="shared" si="112"/>
        <v>-2.469972801920052E-2</v>
      </c>
      <c r="O100" s="333">
        <f t="shared" si="112"/>
        <v>-1.844906161548478E-2</v>
      </c>
      <c r="P100" s="333">
        <f t="shared" si="112"/>
        <v>-2.4425013830373883E-2</v>
      </c>
      <c r="Q100" s="333">
        <f t="shared" si="112"/>
        <v>-1.9474049691127596E-2</v>
      </c>
      <c r="R100" s="333">
        <f t="shared" si="112"/>
        <v>-1.561720005474734E-2</v>
      </c>
      <c r="S100" s="333">
        <f t="shared" si="112"/>
        <v>-9.5394131321805686E-3</v>
      </c>
      <c r="T100" s="333">
        <f t="shared" ref="T100" si="113">T32/T$114</f>
        <v>-2.8827413674679531E-3</v>
      </c>
      <c r="U100" s="333">
        <f t="shared" ref="U100:V100" si="114">U32/U$114</f>
        <v>-1.2604974678422353E-2</v>
      </c>
      <c r="V100" s="334">
        <f t="shared" si="114"/>
        <v>2.8060388181203066E-3</v>
      </c>
      <c r="X100" s="9"/>
      <c r="Y100" s="9"/>
    </row>
    <row r="101" spans="1:25" ht="18" customHeight="1">
      <c r="B101" s="342" t="s">
        <v>330</v>
      </c>
      <c r="C101" s="332">
        <f t="shared" ref="C101:S101" si="115">C33/C$114</f>
        <v>-4.3147477329097433E-2</v>
      </c>
      <c r="D101" s="332">
        <f t="shared" si="115"/>
        <v>-4.5625779053663981E-2</v>
      </c>
      <c r="E101" s="332">
        <f t="shared" si="115"/>
        <v>-4.1439681495618705E-2</v>
      </c>
      <c r="F101" s="332">
        <f t="shared" si="115"/>
        <v>-2.8692476304167446E-2</v>
      </c>
      <c r="G101" s="332">
        <f t="shared" si="115"/>
        <v>-1.1011445695787441E-2</v>
      </c>
      <c r="H101" s="332">
        <f t="shared" si="115"/>
        <v>-1.5840476761396122E-2</v>
      </c>
      <c r="I101" s="332">
        <f t="shared" si="115"/>
        <v>-1.484886815596859E-2</v>
      </c>
      <c r="J101" s="332">
        <f t="shared" si="115"/>
        <v>-8.1229120970335734E-3</v>
      </c>
      <c r="K101" s="332">
        <f t="shared" si="115"/>
        <v>-2.3110814575504804E-2</v>
      </c>
      <c r="L101" s="332">
        <f t="shared" si="115"/>
        <v>-5.3060959302609685E-2</v>
      </c>
      <c r="M101" s="332">
        <f t="shared" si="115"/>
        <v>-3.9261347932533087E-2</v>
      </c>
      <c r="N101" s="333">
        <f t="shared" si="115"/>
        <v>-3.5243606988012051E-2</v>
      </c>
      <c r="O101" s="333">
        <f t="shared" si="115"/>
        <v>-2.6771293852703725E-2</v>
      </c>
      <c r="P101" s="333">
        <f t="shared" si="115"/>
        <v>-2.7645459823181836E-2</v>
      </c>
      <c r="Q101" s="333">
        <f t="shared" si="115"/>
        <v>-2.1524323046659084E-2</v>
      </c>
      <c r="R101" s="333">
        <f t="shared" si="115"/>
        <v>-1.7869172222452764E-2</v>
      </c>
      <c r="S101" s="333">
        <f t="shared" si="115"/>
        <v>-1.1439539902738457E-2</v>
      </c>
      <c r="T101" s="333">
        <f t="shared" ref="T101" si="116">T33/T$114</f>
        <v>-4.6574759010059828E-3</v>
      </c>
      <c r="U101" s="333">
        <f t="shared" ref="U101:V101" si="117">U33/U$114</f>
        <v>-1.4924180149210559E-2</v>
      </c>
      <c r="V101" s="334">
        <f t="shared" si="117"/>
        <v>9.5473781643282281E-4</v>
      </c>
      <c r="X101" s="9"/>
      <c r="Y101" s="9"/>
    </row>
    <row r="102" spans="1:25" ht="18" customHeight="1">
      <c r="B102" s="342" t="s">
        <v>331</v>
      </c>
      <c r="C102" s="332">
        <f t="shared" ref="C102:S102" si="118">C34/C$114</f>
        <v>-3.3813522863521482E-2</v>
      </c>
      <c r="D102" s="332">
        <f t="shared" si="118"/>
        <v>-4.9313944276952675E-2</v>
      </c>
      <c r="E102" s="332">
        <f t="shared" si="118"/>
        <v>-4.9936079607144197E-2</v>
      </c>
      <c r="F102" s="332">
        <f t="shared" si="118"/>
        <v>-4.228364929035202E-2</v>
      </c>
      <c r="G102" s="332">
        <f t="shared" si="118"/>
        <v>-2.7635355243533458E-2</v>
      </c>
      <c r="H102" s="332">
        <f t="shared" si="118"/>
        <v>-3.4548023837869118E-2</v>
      </c>
      <c r="I102" s="332">
        <f t="shared" si="118"/>
        <v>-3.4105323334097944E-2</v>
      </c>
      <c r="J102" s="332">
        <f t="shared" si="118"/>
        <v>-2.3227722275292718E-2</v>
      </c>
      <c r="K102" s="332">
        <f t="shared" si="118"/>
        <v>-3.8000503051389183E-2</v>
      </c>
      <c r="L102" s="332">
        <f t="shared" si="118"/>
        <v>-6.6536991622362068E-2</v>
      </c>
      <c r="M102" s="332">
        <f t="shared" si="118"/>
        <v>-4.970759043900537E-2</v>
      </c>
      <c r="N102" s="333">
        <f t="shared" si="118"/>
        <v>-4.4695453142427052E-2</v>
      </c>
      <c r="O102" s="333">
        <f t="shared" si="118"/>
        <v>-3.8055208584434307E-2</v>
      </c>
      <c r="P102" s="333">
        <f t="shared" si="118"/>
        <v>-4.4536470491201789E-2</v>
      </c>
      <c r="Q102" s="333">
        <f t="shared" si="118"/>
        <v>-4.0143118095051389E-2</v>
      </c>
      <c r="R102" s="333">
        <f t="shared" si="118"/>
        <v>-3.6318849480216145E-2</v>
      </c>
      <c r="S102" s="333">
        <f t="shared" si="118"/>
        <v>-3.1063052174563007E-2</v>
      </c>
      <c r="T102" s="333">
        <f t="shared" ref="T102" si="119">T34/T$114</f>
        <v>-2.5362989149778345E-2</v>
      </c>
      <c r="U102" s="333">
        <f t="shared" ref="U102:V102" si="120">U34/U$114</f>
        <v>-2.6651040635131008E-2</v>
      </c>
      <c r="V102" s="334">
        <f t="shared" si="120"/>
        <v>-3.279650731772223E-3</v>
      </c>
      <c r="X102" s="9"/>
      <c r="Y102" s="9"/>
    </row>
    <row r="103" spans="1:25" ht="25.5" customHeight="1">
      <c r="B103" s="331" t="s">
        <v>332</v>
      </c>
      <c r="C103" s="332">
        <f t="shared" ref="C103:S103" si="121">C35/C$114</f>
        <v>1.6962340887896665E-2</v>
      </c>
      <c r="D103" s="332">
        <f t="shared" si="121"/>
        <v>5.0062975624728778E-2</v>
      </c>
      <c r="E103" s="332">
        <f t="shared" si="121"/>
        <v>9.8979879486962838E-2</v>
      </c>
      <c r="F103" s="332">
        <f t="shared" si="121"/>
        <v>3.2626365818501972E-2</v>
      </c>
      <c r="G103" s="332">
        <f t="shared" si="121"/>
        <v>1.7603158076505251E-2</v>
      </c>
      <c r="H103" s="332">
        <f t="shared" si="121"/>
        <v>2.3308399168594368E-2</v>
      </c>
      <c r="I103" s="332">
        <f t="shared" si="121"/>
        <v>3.1061401047132196E-2</v>
      </c>
      <c r="J103" s="332">
        <f t="shared" si="121"/>
        <v>-6.7611540258938688E-3</v>
      </c>
      <c r="K103" s="332">
        <f t="shared" si="121"/>
        <v>7.0511840195831505E-3</v>
      </c>
      <c r="L103" s="332">
        <f t="shared" si="121"/>
        <v>4.4603848963902189E-2</v>
      </c>
      <c r="M103" s="332">
        <f t="shared" si="121"/>
        <v>1.4857009908434119E-2</v>
      </c>
      <c r="N103" s="333">
        <f t="shared" si="121"/>
        <v>5.9727424084662639E-3</v>
      </c>
      <c r="O103" s="333">
        <f t="shared" si="121"/>
        <v>4.2659865803802925E-2</v>
      </c>
      <c r="P103" s="333">
        <f t="shared" si="121"/>
        <v>5.7585708582072242E-4</v>
      </c>
      <c r="Q103" s="333">
        <f t="shared" si="121"/>
        <v>3.4867342178957018E-2</v>
      </c>
      <c r="R103" s="333">
        <f t="shared" si="121"/>
        <v>-5.6089059673422657E-4</v>
      </c>
      <c r="S103" s="333">
        <f t="shared" si="121"/>
        <v>4.9238883146594924E-3</v>
      </c>
      <c r="T103" s="333">
        <f t="shared" ref="T103:U103" si="122">T35/T$114</f>
        <v>1.4982321484661614E-2</v>
      </c>
      <c r="U103" s="333">
        <f t="shared" si="122"/>
        <v>5.1784841339773593E-3</v>
      </c>
      <c r="V103" s="334">
        <f t="shared" ref="V103" si="123">V35/V$114</f>
        <v>-3.9259241403331009E-3</v>
      </c>
      <c r="X103" s="9"/>
      <c r="Y103" s="9"/>
    </row>
    <row r="104" spans="1:25">
      <c r="B104" s="335" t="s">
        <v>276</v>
      </c>
      <c r="C104" s="336">
        <f t="shared" ref="C104:S104" si="124">C36/C$114</f>
        <v>3.492596052755511E-2</v>
      </c>
      <c r="D104" s="336">
        <f t="shared" si="124"/>
        <v>7.8485458614796791E-2</v>
      </c>
      <c r="E104" s="336">
        <f t="shared" si="124"/>
        <v>0.13886399367034133</v>
      </c>
      <c r="F104" s="336">
        <f t="shared" si="124"/>
        <v>4.6066525771506717E-2</v>
      </c>
      <c r="G104" s="336">
        <f t="shared" si="124"/>
        <v>4.5625403921802928E-2</v>
      </c>
      <c r="H104" s="336">
        <f t="shared" si="124"/>
        <v>4.9493115389848963E-2</v>
      </c>
      <c r="I104" s="336">
        <f t="shared" si="124"/>
        <v>5.6319012193208826E-2</v>
      </c>
      <c r="J104" s="336">
        <f t="shared" si="124"/>
        <v>1.2067359325172307E-2</v>
      </c>
      <c r="K104" s="336">
        <f t="shared" si="124"/>
        <v>2.3731923060629156E-2</v>
      </c>
      <c r="L104" s="336">
        <f t="shared" si="124"/>
        <v>6.1142099420394266E-2</v>
      </c>
      <c r="M104" s="336">
        <f t="shared" si="124"/>
        <v>3.1665821946322406E-2</v>
      </c>
      <c r="N104" s="337">
        <f t="shared" si="124"/>
        <v>5.2601216268368119E-2</v>
      </c>
      <c r="O104" s="337">
        <f t="shared" si="124"/>
        <v>5.6193479284490193E-2</v>
      </c>
      <c r="P104" s="337">
        <f t="shared" si="124"/>
        <v>1.2235028414857744E-2</v>
      </c>
      <c r="Q104" s="337">
        <f t="shared" si="124"/>
        <v>4.6863543856698414E-2</v>
      </c>
      <c r="R104" s="337">
        <f t="shared" si="124"/>
        <v>1.4173767669415449E-2</v>
      </c>
      <c r="S104" s="337">
        <f t="shared" si="124"/>
        <v>2.5442519705756079E-2</v>
      </c>
      <c r="T104" s="337">
        <f t="shared" ref="T104:U104" si="125">T36/T$114</f>
        <v>4.1058271376289375E-2</v>
      </c>
      <c r="U104" s="337">
        <f t="shared" si="125"/>
        <v>2.4779326314218017E-2</v>
      </c>
      <c r="V104" s="338">
        <f t="shared" ref="V104" si="126">V36/V$114</f>
        <v>1.8537681113962906E-3</v>
      </c>
      <c r="X104" s="9"/>
      <c r="Y104" s="9"/>
    </row>
    <row r="105" spans="1:25">
      <c r="B105" s="335" t="s">
        <v>277</v>
      </c>
      <c r="C105" s="336">
        <f t="shared" ref="C105:S105" si="127">C37/C$114</f>
        <v>-1.7963619639658444E-2</v>
      </c>
      <c r="D105" s="336">
        <f t="shared" si="127"/>
        <v>-2.8422482990068009E-2</v>
      </c>
      <c r="E105" s="336">
        <f t="shared" si="127"/>
        <v>-3.9884114183378484E-2</v>
      </c>
      <c r="F105" s="336">
        <f t="shared" si="127"/>
        <v>-1.3440159953004745E-2</v>
      </c>
      <c r="G105" s="336">
        <f t="shared" si="127"/>
        <v>-2.802224584529768E-2</v>
      </c>
      <c r="H105" s="336">
        <f t="shared" si="127"/>
        <v>-2.6184716221254598E-2</v>
      </c>
      <c r="I105" s="336">
        <f t="shared" si="127"/>
        <v>-2.5257611146076633E-2</v>
      </c>
      <c r="J105" s="336">
        <f t="shared" si="127"/>
        <v>-1.8828513351066178E-2</v>
      </c>
      <c r="K105" s="336">
        <f t="shared" si="127"/>
        <v>-1.6680739041046007E-2</v>
      </c>
      <c r="L105" s="336">
        <f t="shared" si="127"/>
        <v>-1.6538250456492074E-2</v>
      </c>
      <c r="M105" s="336">
        <f t="shared" si="127"/>
        <v>-1.6808812037888286E-2</v>
      </c>
      <c r="N105" s="337">
        <f t="shared" si="127"/>
        <v>-4.6628473859901855E-2</v>
      </c>
      <c r="O105" s="337">
        <f t="shared" si="127"/>
        <v>-1.3533613480687268E-2</v>
      </c>
      <c r="P105" s="337">
        <f t="shared" si="127"/>
        <v>-1.1659171329037021E-2</v>
      </c>
      <c r="Q105" s="337">
        <f t="shared" si="127"/>
        <v>-1.1996201677741399E-2</v>
      </c>
      <c r="R105" s="337">
        <f t="shared" si="127"/>
        <v>-1.4734658266149676E-2</v>
      </c>
      <c r="S105" s="337">
        <f t="shared" si="127"/>
        <v>-2.0518631391096585E-2</v>
      </c>
      <c r="T105" s="337">
        <f t="shared" ref="T105:U105" si="128">T37/T$114</f>
        <v>-2.6075949891627759E-2</v>
      </c>
      <c r="U105" s="337">
        <f t="shared" si="128"/>
        <v>-1.9600842180240656E-2</v>
      </c>
      <c r="V105" s="338">
        <f t="shared" ref="V105" si="129">V37/V$114</f>
        <v>-5.779692251729392E-3</v>
      </c>
      <c r="X105" s="9"/>
      <c r="Y105" s="9"/>
    </row>
    <row r="106" spans="1:25" ht="25.5" customHeight="1">
      <c r="B106" s="331" t="s">
        <v>333</v>
      </c>
      <c r="C106" s="332">
        <f t="shared" ref="C106:S106" si="130">C38/C$114</f>
        <v>1.6852030516939853E-2</v>
      </c>
      <c r="D106" s="332">
        <f t="shared" si="130"/>
        <v>-9.1105008495806633E-3</v>
      </c>
      <c r="E106" s="332">
        <f t="shared" si="130"/>
        <v>-6.1472545816195115E-2</v>
      </c>
      <c r="F106" s="332">
        <f t="shared" si="130"/>
        <v>-9.1966937206515598E-3</v>
      </c>
      <c r="G106" s="332">
        <f t="shared" si="130"/>
        <v>-1.0114529818627729E-2</v>
      </c>
      <c r="H106" s="332">
        <f t="shared" si="130"/>
        <v>-1.0995984002653468E-2</v>
      </c>
      <c r="I106" s="332">
        <f t="shared" si="130"/>
        <v>-1.879400654842003E-2</v>
      </c>
      <c r="J106" s="332">
        <f t="shared" si="130"/>
        <v>9.708775782427452E-3</v>
      </c>
      <c r="K106" s="332">
        <f t="shared" si="130"/>
        <v>5.4696502285831667E-3</v>
      </c>
      <c r="L106" s="332">
        <f t="shared" si="130"/>
        <v>2.2759268749126512E-3</v>
      </c>
      <c r="M106" s="332">
        <f t="shared" si="130"/>
        <v>1.5491231204468369E-2</v>
      </c>
      <c r="N106" s="333">
        <f t="shared" si="130"/>
        <v>1.8726985610734284E-2</v>
      </c>
      <c r="O106" s="333">
        <f t="shared" si="130"/>
        <v>-2.4210790160547838E-2</v>
      </c>
      <c r="P106" s="333">
        <f t="shared" si="130"/>
        <v>2.3849156744553197E-2</v>
      </c>
      <c r="Q106" s="333">
        <f t="shared" si="130"/>
        <v>-1.539329248782938E-2</v>
      </c>
      <c r="R106" s="333">
        <f t="shared" si="130"/>
        <v>1.6178090651481503E-2</v>
      </c>
      <c r="S106" s="333">
        <f t="shared" si="130"/>
        <v>4.6155248175210987E-3</v>
      </c>
      <c r="T106" s="333">
        <f t="shared" ref="T106" si="131">T38/T$114</f>
        <v>-1.2099580117193653E-2</v>
      </c>
      <c r="U106" s="333">
        <f t="shared" ref="U106:V106" si="132">U38/U$114</f>
        <v>7.4264905444450064E-3</v>
      </c>
      <c r="V106" s="334">
        <f t="shared" si="132"/>
        <v>1.1198853222128098E-3</v>
      </c>
      <c r="X106" s="9"/>
      <c r="Y106" s="9"/>
    </row>
    <row r="107" spans="1:25">
      <c r="B107" s="335" t="s">
        <v>279</v>
      </c>
      <c r="C107" s="336">
        <f t="shared" ref="C107:S107" si="133">C39/C$114</f>
        <v>1.5341626976146655E-2</v>
      </c>
      <c r="D107" s="336">
        <f t="shared" si="133"/>
        <v>1.6527539521580651E-3</v>
      </c>
      <c r="E107" s="336">
        <f t="shared" si="133"/>
        <v>-3.3243342053459399E-3</v>
      </c>
      <c r="F107" s="336">
        <f t="shared" si="133"/>
        <v>1.6505724526555264E-2</v>
      </c>
      <c r="G107" s="336">
        <f t="shared" si="133"/>
        <v>-4.7403206310324157E-3</v>
      </c>
      <c r="H107" s="336">
        <f t="shared" si="133"/>
        <v>5.272554088991699E-3</v>
      </c>
      <c r="I107" s="336">
        <f t="shared" si="133"/>
        <v>-2.9649578840854492E-3</v>
      </c>
      <c r="J107" s="336">
        <f t="shared" si="133"/>
        <v>8.5924140667479852E-3</v>
      </c>
      <c r="K107" s="336">
        <f t="shared" si="133"/>
        <v>1.4395595903460804E-3</v>
      </c>
      <c r="L107" s="336">
        <f t="shared" si="133"/>
        <v>-1.6674601542358034E-2</v>
      </c>
      <c r="M107" s="336">
        <f t="shared" si="133"/>
        <v>1.4849587378956549E-2</v>
      </c>
      <c r="N107" s="337">
        <f t="shared" si="133"/>
        <v>9.8685749559500307E-3</v>
      </c>
      <c r="O107" s="337">
        <f t="shared" si="133"/>
        <v>-3.4564940580702933E-2</v>
      </c>
      <c r="P107" s="337">
        <f t="shared" si="133"/>
        <v>3.4456833951314533E-2</v>
      </c>
      <c r="Q107" s="337">
        <f t="shared" si="133"/>
        <v>-2.2554494063992857E-4</v>
      </c>
      <c r="R107" s="337">
        <f t="shared" si="133"/>
        <v>1.0132952452914564E-3</v>
      </c>
      <c r="S107" s="337">
        <f t="shared" si="133"/>
        <v>-4.8238434761206268E-3</v>
      </c>
      <c r="T107" s="337">
        <f t="shared" ref="T107" si="134">T39/T$114</f>
        <v>6.1537301272426295E-4</v>
      </c>
      <c r="U107" s="337">
        <f t="shared" ref="U107:V107" si="135">U39/U$114</f>
        <v>-1.1135003208358302E-3</v>
      </c>
      <c r="V107" s="338">
        <f t="shared" si="135"/>
        <v>-7.5997496712572696E-3</v>
      </c>
      <c r="X107" s="9"/>
      <c r="Y107" s="9"/>
    </row>
    <row r="108" spans="1:25">
      <c r="B108" s="335" t="s">
        <v>282</v>
      </c>
      <c r="C108" s="336">
        <f t="shared" ref="C108:S108" si="136">C40/C$114</f>
        <v>-1.5613160196963408E-3</v>
      </c>
      <c r="D108" s="336">
        <f t="shared" si="136"/>
        <v>1.6991613291398432E-2</v>
      </c>
      <c r="E108" s="336">
        <f t="shared" si="136"/>
        <v>-2.7344820316182874E-2</v>
      </c>
      <c r="F108" s="336">
        <f t="shared" si="136"/>
        <v>-4.0849025475143633E-3</v>
      </c>
      <c r="G108" s="336">
        <f t="shared" si="136"/>
        <v>1.0375371316615678E-3</v>
      </c>
      <c r="H108" s="336">
        <f t="shared" si="136"/>
        <v>-8.6679816165464714E-4</v>
      </c>
      <c r="I108" s="336">
        <f t="shared" si="136"/>
        <v>4.8677837522632973E-3</v>
      </c>
      <c r="J108" s="336">
        <f t="shared" si="136"/>
        <v>2.5451872652725335E-3</v>
      </c>
      <c r="K108" s="336">
        <f t="shared" si="136"/>
        <v>5.1545010089570778E-3</v>
      </c>
      <c r="L108" s="336">
        <f t="shared" si="136"/>
        <v>1.3596475778933985E-2</v>
      </c>
      <c r="M108" s="336">
        <f t="shared" si="136"/>
        <v>-3.6252333840346251E-3</v>
      </c>
      <c r="N108" s="337">
        <f t="shared" si="136"/>
        <v>8.0588741516620689E-3</v>
      </c>
      <c r="O108" s="337">
        <f t="shared" si="136"/>
        <v>7.5842106475452553E-3</v>
      </c>
      <c r="P108" s="337">
        <f t="shared" si="136"/>
        <v>-7.7613909174497125E-3</v>
      </c>
      <c r="Q108" s="337">
        <f t="shared" si="136"/>
        <v>-1.1838041346459837E-2</v>
      </c>
      <c r="R108" s="337">
        <f t="shared" si="136"/>
        <v>1.1811363167200271E-2</v>
      </c>
      <c r="S108" s="337">
        <f t="shared" si="136"/>
        <v>2.9711759750204025E-3</v>
      </c>
      <c r="T108" s="337">
        <f t="shared" ref="T108:U108" si="137">T40/T$114</f>
        <v>-1.1485491725960842E-2</v>
      </c>
      <c r="U108" s="337">
        <f t="shared" si="137"/>
        <v>5.0481946160984403E-3</v>
      </c>
      <c r="V108" s="338">
        <f t="shared" ref="V108" si="138">V40/V$114</f>
        <v>7.1880031402846503E-4</v>
      </c>
      <c r="X108" s="9"/>
      <c r="Y108" s="9"/>
    </row>
    <row r="109" spans="1:25">
      <c r="B109" s="335" t="s">
        <v>283</v>
      </c>
      <c r="C109" s="336">
        <f t="shared" ref="C109:S109" si="139">C41/C$114</f>
        <v>-8.1290257982016018E-3</v>
      </c>
      <c r="D109" s="336">
        <f t="shared" si="139"/>
        <v>0</v>
      </c>
      <c r="E109" s="336">
        <f t="shared" si="139"/>
        <v>0</v>
      </c>
      <c r="F109" s="336">
        <f t="shared" si="139"/>
        <v>0</v>
      </c>
      <c r="G109" s="336">
        <f t="shared" si="139"/>
        <v>0</v>
      </c>
      <c r="H109" s="336">
        <f t="shared" si="139"/>
        <v>0</v>
      </c>
      <c r="I109" s="336">
        <f t="shared" si="139"/>
        <v>0</v>
      </c>
      <c r="J109" s="336">
        <f t="shared" si="139"/>
        <v>0</v>
      </c>
      <c r="K109" s="336">
        <f t="shared" si="139"/>
        <v>0</v>
      </c>
      <c r="L109" s="336">
        <f t="shared" si="139"/>
        <v>0</v>
      </c>
      <c r="M109" s="336">
        <f t="shared" si="139"/>
        <v>0</v>
      </c>
      <c r="N109" s="337">
        <f t="shared" si="139"/>
        <v>0</v>
      </c>
      <c r="O109" s="337">
        <f t="shared" si="139"/>
        <v>0</v>
      </c>
      <c r="P109" s="337">
        <f t="shared" si="139"/>
        <v>0</v>
      </c>
      <c r="Q109" s="337">
        <f t="shared" si="139"/>
        <v>0</v>
      </c>
      <c r="R109" s="337">
        <f t="shared" si="139"/>
        <v>0</v>
      </c>
      <c r="S109" s="337">
        <f t="shared" si="139"/>
        <v>0</v>
      </c>
      <c r="T109" s="337">
        <f t="shared" ref="T109:U109" si="140">T41/T$114</f>
        <v>-1.2181296471393378E-4</v>
      </c>
      <c r="U109" s="337">
        <f t="shared" si="140"/>
        <v>0</v>
      </c>
      <c r="V109" s="338">
        <f t="shared" ref="V109" si="141">V41/V$114</f>
        <v>0</v>
      </c>
      <c r="X109" s="9"/>
      <c r="Y109" s="9"/>
    </row>
    <row r="110" spans="1:25">
      <c r="B110" s="335" t="s">
        <v>284</v>
      </c>
      <c r="C110" s="336">
        <f t="shared" ref="C110:S110" si="142">C42/C$114</f>
        <v>5.2100436744214858E-3</v>
      </c>
      <c r="D110" s="336">
        <f t="shared" si="142"/>
        <v>-1.0063073324469795E-2</v>
      </c>
      <c r="E110" s="336">
        <f t="shared" si="142"/>
        <v>-7.0908601339682992E-3</v>
      </c>
      <c r="F110" s="336">
        <f t="shared" si="142"/>
        <v>-1.2836107820285431E-4</v>
      </c>
      <c r="G110" s="336">
        <f t="shared" si="142"/>
        <v>-5.1731135075822542E-4</v>
      </c>
      <c r="H110" s="336">
        <f t="shared" si="142"/>
        <v>8.2875711321268204E-3</v>
      </c>
      <c r="I110" s="336">
        <f t="shared" si="142"/>
        <v>-1.1580709273626259E-3</v>
      </c>
      <c r="J110" s="336">
        <f t="shared" si="142"/>
        <v>-1.3880035128661071E-3</v>
      </c>
      <c r="K110" s="336">
        <f t="shared" si="142"/>
        <v>2.7359587349452849E-3</v>
      </c>
      <c r="L110" s="336">
        <f t="shared" si="142"/>
        <v>2.2787675225348577E-2</v>
      </c>
      <c r="M110" s="336">
        <f t="shared" si="142"/>
        <v>2.4986235530076024E-2</v>
      </c>
      <c r="N110" s="337">
        <f t="shared" si="142"/>
        <v>2.1136986136706275E-2</v>
      </c>
      <c r="O110" s="337">
        <f t="shared" si="142"/>
        <v>2.1590892901246831E-2</v>
      </c>
      <c r="P110" s="337">
        <f t="shared" si="142"/>
        <v>1.6348795474595012E-2</v>
      </c>
      <c r="Q110" s="337">
        <f t="shared" si="142"/>
        <v>1.74508853169522E-2</v>
      </c>
      <c r="R110" s="337">
        <f t="shared" si="142"/>
        <v>2.5882186392066985E-2</v>
      </c>
      <c r="S110" s="337">
        <f t="shared" si="142"/>
        <v>2.5137567239281428E-2</v>
      </c>
      <c r="T110" s="337">
        <f t="shared" ref="T110:U110" si="143">T42/T$114</f>
        <v>2.1301149272885036E-2</v>
      </c>
      <c r="U110" s="337">
        <f t="shared" si="143"/>
        <v>1.8143752708818454E-2</v>
      </c>
      <c r="V110" s="338">
        <f t="shared" ref="V110" si="144">V42/V$114</f>
        <v>1.2022867554489338E-2</v>
      </c>
      <c r="X110" s="9"/>
      <c r="Y110" s="9"/>
    </row>
    <row r="111" spans="1:25">
      <c r="B111" s="335" t="s">
        <v>334</v>
      </c>
      <c r="C111" s="336">
        <f t="shared" ref="C111:S111" si="145">C43/C$114</f>
        <v>0</v>
      </c>
      <c r="D111" s="336">
        <f t="shared" si="145"/>
        <v>8.4673108879033878E-4</v>
      </c>
      <c r="E111" s="336">
        <f t="shared" si="145"/>
        <v>5.7642849641390405E-4</v>
      </c>
      <c r="F111" s="336">
        <f t="shared" si="145"/>
        <v>1.9631694313377717E-4</v>
      </c>
      <c r="G111" s="336">
        <f t="shared" si="145"/>
        <v>1.5060317774890872E-2</v>
      </c>
      <c r="H111" s="336">
        <f t="shared" si="145"/>
        <v>2.0410940263981495E-6</v>
      </c>
      <c r="I111" s="336">
        <f t="shared" si="145"/>
        <v>0</v>
      </c>
      <c r="J111" s="336">
        <f t="shared" si="145"/>
        <v>0</v>
      </c>
      <c r="K111" s="336">
        <f t="shared" si="145"/>
        <v>0</v>
      </c>
      <c r="L111" s="336">
        <f t="shared" si="145"/>
        <v>0</v>
      </c>
      <c r="M111" s="336">
        <f t="shared" si="145"/>
        <v>0</v>
      </c>
      <c r="N111" s="337">
        <f t="shared" si="145"/>
        <v>0</v>
      </c>
      <c r="O111" s="337">
        <f t="shared" si="145"/>
        <v>0</v>
      </c>
      <c r="P111" s="337">
        <f t="shared" si="145"/>
        <v>0</v>
      </c>
      <c r="Q111" s="337">
        <f t="shared" si="145"/>
        <v>0</v>
      </c>
      <c r="R111" s="337">
        <f t="shared" si="145"/>
        <v>0</v>
      </c>
      <c r="S111" s="337">
        <f t="shared" si="145"/>
        <v>0</v>
      </c>
      <c r="T111" s="337">
        <f t="shared" ref="T111:U111" si="146">T43/T$114</f>
        <v>0</v>
      </c>
      <c r="U111" s="337">
        <f t="shared" si="146"/>
        <v>0</v>
      </c>
      <c r="V111" s="338">
        <f t="shared" ref="V111" si="147">V43/V$114</f>
        <v>0</v>
      </c>
      <c r="X111" s="9"/>
      <c r="Y111" s="9"/>
    </row>
    <row r="112" spans="1:25">
      <c r="B112" s="335" t="s">
        <v>335</v>
      </c>
      <c r="C112" s="336">
        <f t="shared" ref="C112:S112" si="148">C44/C$114</f>
        <v>0</v>
      </c>
      <c r="D112" s="336">
        <f t="shared" si="148"/>
        <v>-8.361469501804596E-3</v>
      </c>
      <c r="E112" s="336">
        <f t="shared" si="148"/>
        <v>-1.2428745936376507E-2</v>
      </c>
      <c r="F112" s="336">
        <f t="shared" si="148"/>
        <v>-1.8853977192501599E-2</v>
      </c>
      <c r="G112" s="336">
        <f t="shared" si="148"/>
        <v>-2.0145998378119624E-2</v>
      </c>
      <c r="H112" s="336">
        <f t="shared" si="148"/>
        <v>-2.2254391913185467E-2</v>
      </c>
      <c r="I112" s="336">
        <f t="shared" si="148"/>
        <v>-1.616062972495436E-2</v>
      </c>
      <c r="J112" s="336">
        <f t="shared" si="148"/>
        <v>0</v>
      </c>
      <c r="K112" s="336">
        <f t="shared" si="148"/>
        <v>0</v>
      </c>
      <c r="L112" s="336">
        <f t="shared" si="148"/>
        <v>-1.9657281545675909E-2</v>
      </c>
      <c r="M112" s="336">
        <f t="shared" si="148"/>
        <v>-1.9359349326102893E-2</v>
      </c>
      <c r="N112" s="337">
        <f t="shared" si="148"/>
        <v>-1.9995725123226539E-2</v>
      </c>
      <c r="O112" s="337">
        <f t="shared" si="148"/>
        <v>-1.9608324482901316E-2</v>
      </c>
      <c r="P112" s="337">
        <f t="shared" si="148"/>
        <v>-2.0111456660827903E-2</v>
      </c>
      <c r="Q112" s="337">
        <f t="shared" si="148"/>
        <v>-2.0669068403923789E-2</v>
      </c>
      <c r="R112" s="337">
        <f t="shared" si="148"/>
        <v>-2.0701649425468805E-2</v>
      </c>
      <c r="S112" s="337">
        <f t="shared" si="148"/>
        <v>-2.1523639042382438E-2</v>
      </c>
      <c r="T112" s="337">
        <f t="shared" ref="T112:U112" si="149">T44/T$114</f>
        <v>-2.2480247782310392E-2</v>
      </c>
      <c r="U112" s="337">
        <f t="shared" si="149"/>
        <v>-1.4046065956708655E-2</v>
      </c>
      <c r="V112" s="338">
        <f t="shared" ref="V112" si="150">V44/V$114</f>
        <v>-6.08568954989253E-3</v>
      </c>
      <c r="X112" s="9"/>
      <c r="Y112" s="9"/>
    </row>
    <row r="113" spans="2:25">
      <c r="B113" s="335" t="s">
        <v>336</v>
      </c>
      <c r="C113" s="336">
        <f t="shared" ref="C113:S113" si="151">C45/C$114</f>
        <v>5.9907016842696559E-3</v>
      </c>
      <c r="D113" s="336">
        <f t="shared" si="151"/>
        <v>-1.017705635565311E-2</v>
      </c>
      <c r="E113" s="336">
        <f t="shared" si="151"/>
        <v>-1.1860213720735395E-2</v>
      </c>
      <c r="F113" s="336">
        <f t="shared" si="151"/>
        <v>-2.831494372121786E-3</v>
      </c>
      <c r="G113" s="336">
        <f t="shared" si="151"/>
        <v>-8.0875436526990174E-4</v>
      </c>
      <c r="H113" s="336">
        <f t="shared" si="151"/>
        <v>-1.4369602429582706E-3</v>
      </c>
      <c r="I113" s="336">
        <f t="shared" si="151"/>
        <v>-3.378131764280892E-3</v>
      </c>
      <c r="J113" s="336">
        <f t="shared" si="151"/>
        <v>-4.0822036726961428E-5</v>
      </c>
      <c r="K113" s="336">
        <f t="shared" si="151"/>
        <v>-3.8603691056652771E-3</v>
      </c>
      <c r="L113" s="336">
        <f t="shared" si="151"/>
        <v>2.2236589586640322E-3</v>
      </c>
      <c r="M113" s="336">
        <f t="shared" si="151"/>
        <v>-1.3600089944266884E-3</v>
      </c>
      <c r="N113" s="337">
        <f t="shared" si="151"/>
        <v>-3.4172451035755348E-4</v>
      </c>
      <c r="O113" s="337">
        <f t="shared" si="151"/>
        <v>7.8737135426432147E-4</v>
      </c>
      <c r="P113" s="337">
        <f t="shared" si="151"/>
        <v>9.1637489692126509E-4</v>
      </c>
      <c r="Q113" s="337">
        <f t="shared" si="151"/>
        <v>-1.1152311375802585E-4</v>
      </c>
      <c r="R113" s="337">
        <f t="shared" si="151"/>
        <v>-1.827104727608406E-3</v>
      </c>
      <c r="S113" s="337">
        <f t="shared" si="151"/>
        <v>2.8542641217223306E-3</v>
      </c>
      <c r="T113" s="337">
        <f t="shared" ref="T113:U113" si="152">T45/T$114</f>
        <v>7.1450070182214656E-5</v>
      </c>
      <c r="U113" s="337">
        <f t="shared" si="152"/>
        <v>-6.0589050292740392E-4</v>
      </c>
      <c r="V113" s="338">
        <f t="shared" ref="V113" si="153">V45/V$114</f>
        <v>2.0636566748448064E-3</v>
      </c>
      <c r="X113" s="9"/>
      <c r="Y113" s="9"/>
    </row>
    <row r="114" spans="2:25" ht="25.5" customHeight="1">
      <c r="B114" s="343" t="s">
        <v>347</v>
      </c>
      <c r="C114" s="344">
        <v>11784.93</v>
      </c>
      <c r="D114" s="344">
        <v>12282.53</v>
      </c>
      <c r="E114" s="344">
        <v>12664.19</v>
      </c>
      <c r="F114" s="344">
        <v>13243.89</v>
      </c>
      <c r="G114" s="344">
        <v>13724.81</v>
      </c>
      <c r="H114" s="344">
        <v>14698</v>
      </c>
      <c r="I114" s="344">
        <v>15999.89</v>
      </c>
      <c r="J114" s="344">
        <v>17011.75</v>
      </c>
      <c r="K114" s="344">
        <v>17986.89</v>
      </c>
      <c r="L114" s="344">
        <v>17601.62</v>
      </c>
      <c r="M114" s="344">
        <v>18447.919999999998</v>
      </c>
      <c r="N114" s="344">
        <v>20283.78</v>
      </c>
      <c r="O114" s="344">
        <v>21386.15</v>
      </c>
      <c r="P114" s="344">
        <v>21990.959999999999</v>
      </c>
      <c r="Q114" s="344">
        <v>22593.47</v>
      </c>
      <c r="R114" s="344">
        <v>23438.240000000002</v>
      </c>
      <c r="S114" s="344">
        <v>24154.11</v>
      </c>
      <c r="T114" s="344">
        <v>24927.97</v>
      </c>
      <c r="U114" s="344">
        <v>26056.94</v>
      </c>
      <c r="V114" s="345">
        <v>26844.7</v>
      </c>
      <c r="X114" s="9"/>
      <c r="Y114" s="9"/>
    </row>
    <row r="115" spans="2:25">
      <c r="B115" s="762" t="s">
        <v>338</v>
      </c>
      <c r="C115" s="762"/>
      <c r="D115" s="762"/>
      <c r="E115" s="762"/>
      <c r="F115" s="762"/>
      <c r="G115" s="762"/>
      <c r="H115" s="762"/>
      <c r="I115" s="762"/>
      <c r="J115" s="762"/>
      <c r="K115" s="762"/>
      <c r="L115" s="762"/>
      <c r="M115" s="762"/>
      <c r="N115" s="762"/>
      <c r="O115" s="762"/>
      <c r="P115" s="762"/>
      <c r="Q115" s="762"/>
      <c r="R115" s="762"/>
      <c r="S115" s="318"/>
      <c r="T115" s="318"/>
      <c r="U115" s="318"/>
      <c r="V115" s="318"/>
      <c r="Y115" s="9"/>
    </row>
    <row r="116" spans="2:25">
      <c r="B116" s="319" t="s">
        <v>348</v>
      </c>
      <c r="C116" s="319"/>
      <c r="D116" s="319"/>
      <c r="E116" s="319"/>
      <c r="F116" s="319"/>
      <c r="G116" s="319"/>
      <c r="H116" s="319"/>
      <c r="I116" s="319"/>
      <c r="J116" s="319"/>
      <c r="K116" s="319"/>
      <c r="L116" s="319"/>
      <c r="M116" s="319"/>
      <c r="N116" s="319"/>
      <c r="O116" s="319"/>
      <c r="P116" s="319"/>
      <c r="Q116" s="319"/>
      <c r="R116" s="319"/>
      <c r="S116" s="319"/>
      <c r="T116" s="319"/>
      <c r="U116" s="319"/>
      <c r="V116" s="319"/>
      <c r="Y116" s="9"/>
    </row>
    <row r="117" spans="2:25">
      <c r="M117" s="2"/>
      <c r="N117" s="2"/>
      <c r="O117" s="2"/>
      <c r="P117" s="2"/>
      <c r="Q117" s="2"/>
      <c r="R117" s="2"/>
      <c r="S117" s="2"/>
      <c r="T117" s="2"/>
      <c r="U117" s="2"/>
      <c r="V117" s="2"/>
      <c r="Y117" s="9"/>
    </row>
    <row r="118" spans="2:25">
      <c r="B118" s="2" t="s">
        <v>340</v>
      </c>
      <c r="M118" s="2"/>
      <c r="N118" s="2"/>
      <c r="O118" s="2"/>
      <c r="P118" s="2"/>
      <c r="Q118" s="2"/>
      <c r="R118" s="2"/>
      <c r="S118" s="2"/>
      <c r="T118" s="2"/>
      <c r="U118" s="2"/>
      <c r="V118" s="2"/>
      <c r="Y118" s="9"/>
    </row>
    <row r="119" spans="2:25" ht="24.95" customHeight="1">
      <c r="B119" s="320" t="s">
        <v>341</v>
      </c>
      <c r="C119" s="320"/>
      <c r="D119" s="346">
        <f t="shared" ref="D119:S119" si="154">D51/D$114</f>
        <v>8.361469501804596E-3</v>
      </c>
      <c r="E119" s="346">
        <f t="shared" si="154"/>
        <v>1.2428745936376507E-2</v>
      </c>
      <c r="F119" s="346">
        <f t="shared" si="154"/>
        <v>1.8853977192501599E-2</v>
      </c>
      <c r="G119" s="346">
        <f t="shared" si="154"/>
        <v>2.0145998378119624E-2</v>
      </c>
      <c r="H119" s="346">
        <f t="shared" si="154"/>
        <v>2.2254728534494492E-2</v>
      </c>
      <c r="I119" s="346">
        <f t="shared" si="154"/>
        <v>2.1837650133844672E-2</v>
      </c>
      <c r="J119" s="346">
        <f t="shared" si="154"/>
        <v>1.8769379987361678E-2</v>
      </c>
      <c r="K119" s="346">
        <f t="shared" si="154"/>
        <v>1.7829652596974797E-2</v>
      </c>
      <c r="L119" s="346">
        <f t="shared" si="154"/>
        <v>1.9657281545675909E-2</v>
      </c>
      <c r="M119" s="346">
        <f t="shared" si="154"/>
        <v>1.9359349326102889E-2</v>
      </c>
      <c r="N119" s="346">
        <f t="shared" si="154"/>
        <v>1.9995725123226539E-2</v>
      </c>
      <c r="O119" s="346">
        <f t="shared" si="154"/>
        <v>1.960614696894953E-2</v>
      </c>
      <c r="P119" s="346">
        <f t="shared" si="154"/>
        <v>2.0111456660827903E-2</v>
      </c>
      <c r="Q119" s="346">
        <f t="shared" si="154"/>
        <v>2.0669068403923789E-2</v>
      </c>
      <c r="R119" s="346">
        <f t="shared" si="154"/>
        <v>2.0701649425468805E-2</v>
      </c>
      <c r="S119" s="346">
        <f t="shared" si="154"/>
        <v>2.1523639042382438E-2</v>
      </c>
      <c r="T119" s="346">
        <f t="shared" ref="T119:U119" si="155">T51/T$114</f>
        <v>2.2480247782310392E-2</v>
      </c>
      <c r="U119" s="346">
        <f t="shared" si="155"/>
        <v>1.4046065956708655E-2</v>
      </c>
      <c r="V119" s="347">
        <f t="shared" ref="V119" si="156">V51/V$114</f>
        <v>6.08568954989253E-3</v>
      </c>
      <c r="Y119" s="9"/>
    </row>
    <row r="120" spans="2:25" ht="15" customHeight="1">
      <c r="B120" s="35" t="s">
        <v>342</v>
      </c>
      <c r="C120" s="324"/>
      <c r="D120" s="348">
        <f t="shared" ref="D120:I120" si="157">D52/D$114</f>
        <v>8.361469501804596E-3</v>
      </c>
      <c r="E120" s="348">
        <f t="shared" si="157"/>
        <v>1.2428745936376507E-2</v>
      </c>
      <c r="F120" s="348">
        <f t="shared" si="157"/>
        <v>1.8853977192501599E-2</v>
      </c>
      <c r="G120" s="348">
        <f t="shared" si="157"/>
        <v>2.0145998378119624E-2</v>
      </c>
      <c r="H120" s="348">
        <f t="shared" si="157"/>
        <v>2.2254728534494492E-2</v>
      </c>
      <c r="I120" s="348">
        <f t="shared" si="157"/>
        <v>1.6162611117951437E-2</v>
      </c>
      <c r="J120" s="324"/>
      <c r="K120" s="324"/>
      <c r="L120" s="278"/>
      <c r="M120" s="278"/>
      <c r="N120" s="278"/>
      <c r="O120" s="278"/>
      <c r="P120" s="348"/>
      <c r="Q120" s="348"/>
      <c r="R120" s="348"/>
      <c r="S120" s="610"/>
      <c r="T120" s="610"/>
      <c r="U120" s="610"/>
      <c r="V120" s="349"/>
      <c r="Y120" s="9"/>
    </row>
    <row r="121" spans="2:25" ht="15" customHeight="1">
      <c r="B121" s="35" t="s">
        <v>343</v>
      </c>
      <c r="C121" s="324"/>
      <c r="D121" s="324"/>
      <c r="E121" s="324"/>
      <c r="F121" s="324"/>
      <c r="G121" s="324"/>
      <c r="H121" s="324"/>
      <c r="I121" s="348">
        <f t="shared" ref="I121:S121" si="158">I53/I$114</f>
        <v>5.6750390158932344E-3</v>
      </c>
      <c r="J121" s="348">
        <f t="shared" si="158"/>
        <v>1.8769379987361678E-2</v>
      </c>
      <c r="K121" s="348">
        <f t="shared" si="158"/>
        <v>1.7829652596974797E-2</v>
      </c>
      <c r="L121" s="348">
        <f t="shared" si="158"/>
        <v>1.9657281545675909E-2</v>
      </c>
      <c r="M121" s="348">
        <f t="shared" si="158"/>
        <v>1.9359349326102889E-2</v>
      </c>
      <c r="N121" s="348">
        <f t="shared" si="158"/>
        <v>1.9995725123226539E-2</v>
      </c>
      <c r="O121" s="348">
        <f t="shared" si="158"/>
        <v>1.960614696894953E-2</v>
      </c>
      <c r="P121" s="348">
        <f t="shared" si="158"/>
        <v>2.0111456660827903E-2</v>
      </c>
      <c r="Q121" s="348">
        <f t="shared" si="158"/>
        <v>2.0669068403923789E-2</v>
      </c>
      <c r="R121" s="348">
        <f t="shared" si="158"/>
        <v>2.0701649425468805E-2</v>
      </c>
      <c r="S121" s="348">
        <f t="shared" si="158"/>
        <v>2.1523639042382438E-2</v>
      </c>
      <c r="T121" s="348">
        <f t="shared" ref="T121:U121" si="159">T53/T$114</f>
        <v>2.2480247782310392E-2</v>
      </c>
      <c r="U121" s="348">
        <f t="shared" si="159"/>
        <v>1.4046065956708655E-2</v>
      </c>
      <c r="V121" s="350">
        <f t="shared" ref="V121" si="160">V53/V$114</f>
        <v>6.08568954989253E-3</v>
      </c>
      <c r="Y121" s="9"/>
    </row>
    <row r="122" spans="2:25" ht="15" customHeight="1">
      <c r="B122" s="325" t="s">
        <v>344</v>
      </c>
      <c r="C122" s="326"/>
      <c r="D122" s="326"/>
      <c r="E122" s="326"/>
      <c r="F122" s="326"/>
      <c r="G122" s="326"/>
      <c r="H122" s="326"/>
      <c r="I122" s="326"/>
      <c r="J122" s="351">
        <f>J54/J$114</f>
        <v>1.5107205313974164E-3</v>
      </c>
      <c r="K122" s="351">
        <f>K54/K$114</f>
        <v>7.6500162062479952E-3</v>
      </c>
      <c r="L122" s="351">
        <f>L54/L$114</f>
        <v>1.3737371900995477E-3</v>
      </c>
      <c r="M122" s="327"/>
      <c r="N122" s="327"/>
      <c r="O122" s="327"/>
      <c r="P122" s="327"/>
      <c r="Q122" s="327"/>
      <c r="R122" s="327"/>
      <c r="S122" s="327"/>
      <c r="T122" s="327"/>
      <c r="U122" s="327"/>
      <c r="V122" s="352"/>
      <c r="Y122" s="9"/>
    </row>
    <row r="123" spans="2:25">
      <c r="Y123" s="9"/>
    </row>
    <row r="124" spans="2:25">
      <c r="Y124" s="9"/>
    </row>
    <row r="125" spans="2:25">
      <c r="Y125" s="9"/>
    </row>
    <row r="126" spans="2:25">
      <c r="Y126" s="9"/>
    </row>
  </sheetData>
  <mergeCells count="2">
    <mergeCell ref="B47:R47"/>
    <mergeCell ref="B115:R115"/>
  </mergeCells>
  <printOptions horizontalCentered="1"/>
  <pageMargins left="0.7" right="0.7" top="0.75" bottom="0.75" header="0.3" footer="0.3"/>
  <pageSetup scale="35" orientation="portrait" r:id="rId1"/>
  <ignoredErrors>
    <ignoredError sqref="N9:U9 N18:V18" formulaRange="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A1:J31"/>
  <sheetViews>
    <sheetView workbookViewId="0">
      <selection activeCell="B30" sqref="B30:J30"/>
    </sheetView>
  </sheetViews>
  <sheetFormatPr baseColWidth="10" defaultRowHeight="15"/>
  <cols>
    <col min="2" max="10" width="15.7109375" customWidth="1"/>
  </cols>
  <sheetData>
    <row r="1" spans="2:10" ht="15.75">
      <c r="B1" s="56" t="s">
        <v>786</v>
      </c>
      <c r="C1" s="4"/>
      <c r="D1" s="4"/>
      <c r="E1" s="4"/>
      <c r="F1" s="4"/>
      <c r="G1" s="4"/>
      <c r="H1" s="4"/>
      <c r="I1" s="4"/>
      <c r="J1" s="4"/>
    </row>
    <row r="2" spans="2:10" ht="15.75">
      <c r="B2" s="4"/>
      <c r="C2" s="4"/>
      <c r="D2" s="4"/>
      <c r="E2" s="4"/>
      <c r="F2" s="4"/>
      <c r="G2" s="4"/>
      <c r="H2" s="4"/>
      <c r="I2" s="4"/>
      <c r="J2" s="4"/>
    </row>
    <row r="3" spans="2:10" ht="16.5" thickBot="1">
      <c r="B3" s="4"/>
      <c r="C3" s="4"/>
      <c r="D3" s="4"/>
      <c r="E3" s="4"/>
      <c r="F3" s="4"/>
      <c r="G3" s="4"/>
      <c r="H3" s="4"/>
      <c r="I3" s="4"/>
      <c r="J3" s="4"/>
    </row>
    <row r="4" spans="2:10" ht="63">
      <c r="B4" s="57" t="s">
        <v>113</v>
      </c>
      <c r="C4" s="58" t="s">
        <v>114</v>
      </c>
      <c r="D4" s="58" t="s">
        <v>115</v>
      </c>
      <c r="E4" s="58" t="s">
        <v>116</v>
      </c>
      <c r="F4" s="58" t="s">
        <v>117</v>
      </c>
      <c r="G4" s="58" t="s">
        <v>118</v>
      </c>
      <c r="H4" s="58" t="s">
        <v>119</v>
      </c>
      <c r="I4" s="58" t="s">
        <v>120</v>
      </c>
      <c r="J4" s="59" t="s">
        <v>121</v>
      </c>
    </row>
    <row r="5" spans="2:10" ht="15.75" hidden="1">
      <c r="B5" s="60">
        <v>1996</v>
      </c>
      <c r="C5" s="61">
        <v>207.3</v>
      </c>
      <c r="D5" s="61">
        <v>237.5</v>
      </c>
      <c r="E5" s="61">
        <v>492.3</v>
      </c>
      <c r="F5" s="61">
        <v>219</v>
      </c>
      <c r="G5" s="61">
        <v>317.5</v>
      </c>
      <c r="H5" s="61">
        <v>104.5</v>
      </c>
      <c r="I5" s="61">
        <v>0</v>
      </c>
      <c r="J5" s="62">
        <f>SUM(C5:I5)</f>
        <v>1578.1</v>
      </c>
    </row>
    <row r="6" spans="2:10" ht="15.75" hidden="1">
      <c r="B6" s="60">
        <v>1997</v>
      </c>
      <c r="C6" s="61">
        <v>206.1</v>
      </c>
      <c r="D6" s="61">
        <v>248.7</v>
      </c>
      <c r="E6" s="61">
        <v>531</v>
      </c>
      <c r="F6" s="61">
        <v>237.7</v>
      </c>
      <c r="G6" s="61">
        <v>297.89999999999998</v>
      </c>
      <c r="H6" s="61">
        <v>132.1</v>
      </c>
      <c r="I6" s="61">
        <v>0</v>
      </c>
      <c r="J6" s="62">
        <f t="shared" ref="J6:J28" si="0">SUM(C6:I6)</f>
        <v>1653.5</v>
      </c>
    </row>
    <row r="7" spans="2:10" ht="15.75" hidden="1">
      <c r="B7" s="60">
        <v>1998</v>
      </c>
      <c r="C7" s="61">
        <v>242.5</v>
      </c>
      <c r="D7" s="61">
        <v>296.3</v>
      </c>
      <c r="E7" s="61">
        <v>649.29999999999995</v>
      </c>
      <c r="F7" s="61">
        <v>286.10000000000002</v>
      </c>
      <c r="G7" s="61">
        <v>299.5</v>
      </c>
      <c r="H7" s="61">
        <v>124</v>
      </c>
      <c r="I7" s="61">
        <v>19.074285714285711</v>
      </c>
      <c r="J7" s="62">
        <f t="shared" si="0"/>
        <v>1916.7742857142855</v>
      </c>
    </row>
    <row r="8" spans="2:10" ht="15.75" hidden="1">
      <c r="B8" s="60">
        <v>1999</v>
      </c>
      <c r="C8" s="61">
        <v>253.5</v>
      </c>
      <c r="D8" s="61">
        <v>300.2</v>
      </c>
      <c r="E8" s="61">
        <v>683.6</v>
      </c>
      <c r="F8" s="61">
        <v>208</v>
      </c>
      <c r="G8" s="61">
        <v>303.8</v>
      </c>
      <c r="H8" s="61">
        <v>128.69999999999999</v>
      </c>
      <c r="I8" s="61">
        <v>5.3</v>
      </c>
      <c r="J8" s="62">
        <f t="shared" si="0"/>
        <v>1883.1000000000001</v>
      </c>
    </row>
    <row r="9" spans="2:10" ht="15.75" hidden="1">
      <c r="B9" s="60">
        <v>2000</v>
      </c>
      <c r="C9" s="61">
        <v>270.7</v>
      </c>
      <c r="D9" s="61">
        <v>310.2</v>
      </c>
      <c r="E9" s="61">
        <v>745.6</v>
      </c>
      <c r="F9" s="61">
        <v>273</v>
      </c>
      <c r="G9" s="61">
        <v>303.60000000000002</v>
      </c>
      <c r="H9" s="61">
        <v>165</v>
      </c>
      <c r="I9" s="61">
        <v>4.4000000000000004</v>
      </c>
      <c r="J9" s="62">
        <f t="shared" si="0"/>
        <v>2072.5</v>
      </c>
    </row>
    <row r="10" spans="2:10" ht="15.75" hidden="1">
      <c r="B10" s="60">
        <v>2001</v>
      </c>
      <c r="C10" s="61">
        <v>279.55</v>
      </c>
      <c r="D10" s="61">
        <v>315.29000000000002</v>
      </c>
      <c r="E10" s="61">
        <v>992.13</v>
      </c>
      <c r="F10" s="61">
        <v>293.17</v>
      </c>
      <c r="G10" s="61">
        <v>333.25</v>
      </c>
      <c r="H10" s="61">
        <v>132.88999999999999</v>
      </c>
      <c r="I10" s="61">
        <v>45.86</v>
      </c>
      <c r="J10" s="62">
        <f t="shared" si="0"/>
        <v>2392.1400000000003</v>
      </c>
    </row>
    <row r="11" spans="2:10" ht="15.75" hidden="1">
      <c r="B11" s="60">
        <v>2002</v>
      </c>
      <c r="C11" s="61">
        <v>311.41000000000003</v>
      </c>
      <c r="D11" s="61">
        <v>339.02</v>
      </c>
      <c r="E11" s="61">
        <v>1084.5899999999999</v>
      </c>
      <c r="F11" s="61">
        <v>334.31</v>
      </c>
      <c r="G11" s="61">
        <v>1088.75</v>
      </c>
      <c r="H11" s="61">
        <v>184.56</v>
      </c>
      <c r="I11" s="61">
        <v>0</v>
      </c>
      <c r="J11" s="62">
        <f t="shared" si="0"/>
        <v>3342.64</v>
      </c>
    </row>
    <row r="12" spans="2:10" ht="15.75" hidden="1">
      <c r="B12" s="60">
        <v>2003</v>
      </c>
      <c r="C12" s="61">
        <v>267.93</v>
      </c>
      <c r="D12" s="61">
        <v>334.98</v>
      </c>
      <c r="E12" s="61">
        <v>1091.71</v>
      </c>
      <c r="F12" s="61">
        <v>262.58</v>
      </c>
      <c r="G12" s="61">
        <v>421.33</v>
      </c>
      <c r="H12" s="61">
        <v>133.22</v>
      </c>
      <c r="I12" s="61">
        <v>38.26</v>
      </c>
      <c r="J12" s="62">
        <f t="shared" si="0"/>
        <v>2550.0100000000002</v>
      </c>
    </row>
    <row r="13" spans="2:10" ht="15.75" hidden="1">
      <c r="B13" s="60">
        <v>2004</v>
      </c>
      <c r="C13" s="61">
        <v>269.26</v>
      </c>
      <c r="D13" s="61">
        <v>349.49</v>
      </c>
      <c r="E13" s="61">
        <v>1176.05</v>
      </c>
      <c r="F13" s="61">
        <v>281.2</v>
      </c>
      <c r="G13" s="61">
        <v>557.87</v>
      </c>
      <c r="H13" s="61">
        <v>172.24</v>
      </c>
      <c r="I13" s="61">
        <v>0</v>
      </c>
      <c r="J13" s="62">
        <f t="shared" si="0"/>
        <v>2806.1099999999997</v>
      </c>
    </row>
    <row r="14" spans="2:10" ht="15.75" hidden="1">
      <c r="B14" s="60">
        <v>2005</v>
      </c>
      <c r="C14" s="61">
        <v>299.58999999999997</v>
      </c>
      <c r="D14" s="61">
        <v>387.57</v>
      </c>
      <c r="E14" s="61">
        <v>1363.97</v>
      </c>
      <c r="F14" s="61">
        <v>387.97</v>
      </c>
      <c r="G14" s="61">
        <v>580.03</v>
      </c>
      <c r="H14" s="61">
        <v>113</v>
      </c>
      <c r="I14" s="61">
        <v>0</v>
      </c>
      <c r="J14" s="62">
        <f t="shared" si="0"/>
        <v>3132.13</v>
      </c>
    </row>
    <row r="15" spans="2:10" ht="15.75" hidden="1">
      <c r="B15" s="60">
        <v>2006</v>
      </c>
      <c r="C15" s="61">
        <v>344.24</v>
      </c>
      <c r="D15" s="61">
        <v>426.75</v>
      </c>
      <c r="E15" s="61">
        <v>1097.5899999999999</v>
      </c>
      <c r="F15" s="61">
        <v>451.75</v>
      </c>
      <c r="G15" s="61">
        <v>872.99</v>
      </c>
      <c r="H15" s="61">
        <v>427.44</v>
      </c>
      <c r="I15" s="61">
        <v>13.73</v>
      </c>
      <c r="J15" s="62">
        <f t="shared" si="0"/>
        <v>3634.49</v>
      </c>
    </row>
    <row r="16" spans="2:10" ht="15.75" hidden="1">
      <c r="B16" s="60">
        <v>2007</v>
      </c>
      <c r="C16" s="61">
        <v>359.15</v>
      </c>
      <c r="D16" s="61">
        <v>473.67</v>
      </c>
      <c r="E16" s="61">
        <v>1206.31</v>
      </c>
      <c r="F16" s="61">
        <v>411.78</v>
      </c>
      <c r="G16" s="61">
        <v>725.39</v>
      </c>
      <c r="H16" s="61">
        <v>64.430000000000007</v>
      </c>
      <c r="I16" s="61">
        <v>17.47</v>
      </c>
      <c r="J16" s="62">
        <f t="shared" si="0"/>
        <v>3258.1999999999994</v>
      </c>
    </row>
    <row r="17" spans="1:10" ht="15.75" hidden="1">
      <c r="B17" s="60">
        <v>2008</v>
      </c>
      <c r="C17" s="61">
        <v>396.06</v>
      </c>
      <c r="D17" s="61">
        <v>576.12</v>
      </c>
      <c r="E17" s="61">
        <v>1407.91</v>
      </c>
      <c r="F17" s="61">
        <v>454.81</v>
      </c>
      <c r="G17" s="61">
        <v>692</v>
      </c>
      <c r="H17" s="61">
        <v>63.01</v>
      </c>
      <c r="I17" s="61">
        <v>34.18</v>
      </c>
      <c r="J17" s="62">
        <f t="shared" si="0"/>
        <v>3624.09</v>
      </c>
    </row>
    <row r="18" spans="1:10" ht="15.75" hidden="1">
      <c r="B18" s="60">
        <v>2009</v>
      </c>
      <c r="C18" s="61">
        <v>413.3</v>
      </c>
      <c r="D18" s="61">
        <v>550.1</v>
      </c>
      <c r="E18" s="61">
        <v>1644.2000000000003</v>
      </c>
      <c r="F18" s="61">
        <v>464.8</v>
      </c>
      <c r="G18" s="61">
        <v>1482.2</v>
      </c>
      <c r="H18" s="61">
        <v>272.5</v>
      </c>
      <c r="I18" s="61">
        <v>0</v>
      </c>
      <c r="J18" s="62">
        <f t="shared" si="0"/>
        <v>4827.1000000000004</v>
      </c>
    </row>
    <row r="19" spans="1:10" ht="15.75" hidden="1">
      <c r="B19" s="60">
        <v>2010</v>
      </c>
      <c r="C19" s="61">
        <v>425.06</v>
      </c>
      <c r="D19" s="61">
        <v>597.327</v>
      </c>
      <c r="E19" s="61">
        <v>1623.1679999999999</v>
      </c>
      <c r="F19" s="61">
        <v>517.79499999999996</v>
      </c>
      <c r="G19" s="61">
        <v>774.59100000000001</v>
      </c>
      <c r="H19" s="61">
        <v>57.521999999999998</v>
      </c>
      <c r="I19" s="61">
        <v>0</v>
      </c>
      <c r="J19" s="62">
        <f t="shared" si="0"/>
        <v>3995.4629999999997</v>
      </c>
    </row>
    <row r="20" spans="1:10" ht="21" hidden="1" customHeight="1">
      <c r="B20" s="60">
        <v>2011</v>
      </c>
      <c r="C20" s="61">
        <v>460.40800000000002</v>
      </c>
      <c r="D20" s="61">
        <v>625.63900000000001</v>
      </c>
      <c r="E20" s="61">
        <v>1777.3150000000001</v>
      </c>
      <c r="F20" s="61">
        <v>540.755</v>
      </c>
      <c r="G20" s="61">
        <v>1402.3340000000001</v>
      </c>
      <c r="H20" s="61">
        <v>57.081000000000003</v>
      </c>
      <c r="I20" s="61">
        <v>0</v>
      </c>
      <c r="J20" s="62">
        <f t="shared" si="0"/>
        <v>4863.5320000000002</v>
      </c>
    </row>
    <row r="21" spans="1:10" ht="21" hidden="1" customHeight="1">
      <c r="B21" s="60">
        <v>2012</v>
      </c>
      <c r="C21" s="61">
        <v>480.3</v>
      </c>
      <c r="D21" s="61">
        <v>637.20000000000005</v>
      </c>
      <c r="E21" s="61">
        <v>1927.8</v>
      </c>
      <c r="F21" s="61">
        <v>519</v>
      </c>
      <c r="G21" s="61">
        <v>742.1</v>
      </c>
      <c r="H21" s="61">
        <v>35.1</v>
      </c>
      <c r="I21" s="61">
        <v>0</v>
      </c>
      <c r="J21" s="62">
        <f t="shared" si="0"/>
        <v>4341.5000000000009</v>
      </c>
    </row>
    <row r="22" spans="1:10" ht="21" hidden="1" customHeight="1">
      <c r="A22" s="9"/>
      <c r="B22" s="60">
        <v>2013</v>
      </c>
      <c r="C22" s="61">
        <v>506</v>
      </c>
      <c r="D22" s="61">
        <v>679.1</v>
      </c>
      <c r="E22" s="61">
        <v>2107.1999999999998</v>
      </c>
      <c r="F22" s="61">
        <v>516.9</v>
      </c>
      <c r="G22" s="61">
        <v>769.1</v>
      </c>
      <c r="H22" s="61">
        <v>47.6</v>
      </c>
      <c r="I22" s="61">
        <v>0</v>
      </c>
      <c r="J22" s="62">
        <f t="shared" si="0"/>
        <v>4625.9000000000005</v>
      </c>
    </row>
    <row r="23" spans="1:10" ht="21" customHeight="1">
      <c r="B23" s="60">
        <v>2014</v>
      </c>
      <c r="C23" s="63">
        <v>486.8</v>
      </c>
      <c r="D23" s="63">
        <v>683.2</v>
      </c>
      <c r="E23" s="63">
        <v>2115.5</v>
      </c>
      <c r="F23" s="63">
        <v>445.3</v>
      </c>
      <c r="G23" s="63">
        <v>1953.1</v>
      </c>
      <c r="H23" s="63">
        <v>58</v>
      </c>
      <c r="I23" s="63">
        <v>0</v>
      </c>
      <c r="J23" s="62">
        <f t="shared" si="0"/>
        <v>5741.9</v>
      </c>
    </row>
    <row r="24" spans="1:10" ht="21" customHeight="1">
      <c r="B24" s="60">
        <v>2015</v>
      </c>
      <c r="C24" s="63">
        <v>493.8</v>
      </c>
      <c r="D24" s="63">
        <v>792.9</v>
      </c>
      <c r="E24" s="63">
        <v>2223.9</v>
      </c>
      <c r="F24" s="63">
        <v>433.8</v>
      </c>
      <c r="G24" s="63">
        <v>793.7</v>
      </c>
      <c r="H24" s="63">
        <v>37.799999999999997</v>
      </c>
      <c r="I24" s="63">
        <v>0</v>
      </c>
      <c r="J24" s="62">
        <f t="shared" si="0"/>
        <v>4775.9000000000005</v>
      </c>
    </row>
    <row r="25" spans="1:10" ht="21" customHeight="1">
      <c r="B25" s="60">
        <v>2016</v>
      </c>
      <c r="C25" s="63">
        <v>476.4</v>
      </c>
      <c r="D25" s="63">
        <v>796.6</v>
      </c>
      <c r="E25" s="63">
        <v>2212.9</v>
      </c>
      <c r="F25" s="63">
        <v>397.2</v>
      </c>
      <c r="G25" s="63">
        <v>889</v>
      </c>
      <c r="H25" s="63">
        <v>32.799999999999997</v>
      </c>
      <c r="I25" s="63">
        <v>0</v>
      </c>
      <c r="J25" s="62">
        <f t="shared" si="0"/>
        <v>4804.9000000000005</v>
      </c>
    </row>
    <row r="26" spans="1:10" ht="21" customHeight="1">
      <c r="B26" s="60">
        <v>2017</v>
      </c>
      <c r="C26" s="63">
        <v>510.4</v>
      </c>
      <c r="D26" s="63">
        <v>844.8</v>
      </c>
      <c r="E26" s="63">
        <v>2283.6</v>
      </c>
      <c r="F26" s="63">
        <v>535.1</v>
      </c>
      <c r="G26" s="63">
        <v>969.5</v>
      </c>
      <c r="H26" s="63">
        <v>80</v>
      </c>
      <c r="I26" s="63">
        <v>0</v>
      </c>
      <c r="J26" s="62">
        <f t="shared" ref="J26:J27" si="1">SUM(C26:I26)</f>
        <v>5223.3999999999996</v>
      </c>
    </row>
    <row r="27" spans="1:10" ht="21" customHeight="1">
      <c r="B27" s="60">
        <v>2018</v>
      </c>
      <c r="C27" s="63">
        <v>538.4</v>
      </c>
      <c r="D27" s="63">
        <v>831.6</v>
      </c>
      <c r="E27" s="63">
        <v>2330.1</v>
      </c>
      <c r="F27" s="63">
        <v>478.9</v>
      </c>
      <c r="G27" s="63">
        <v>1017.6</v>
      </c>
      <c r="H27" s="63">
        <v>88.2</v>
      </c>
      <c r="I27" s="63">
        <v>0</v>
      </c>
      <c r="J27" s="62">
        <f t="shared" si="1"/>
        <v>5284.8</v>
      </c>
    </row>
    <row r="28" spans="1:10" ht="21" customHeight="1" thickBot="1">
      <c r="A28" s="9"/>
      <c r="B28" s="64" t="s">
        <v>773</v>
      </c>
      <c r="C28" s="65">
        <v>253.1</v>
      </c>
      <c r="D28" s="65">
        <v>403.8</v>
      </c>
      <c r="E28" s="65">
        <v>1265.4000000000001</v>
      </c>
      <c r="F28" s="65">
        <v>271.7</v>
      </c>
      <c r="G28" s="65">
        <v>521.4</v>
      </c>
      <c r="H28" s="65">
        <v>47</v>
      </c>
      <c r="I28" s="65"/>
      <c r="J28" s="66">
        <f t="shared" si="0"/>
        <v>2762.4</v>
      </c>
    </row>
    <row r="29" spans="1:10" ht="15.75">
      <c r="A29" s="9"/>
      <c r="B29" s="4"/>
      <c r="C29" s="67"/>
      <c r="D29" s="67"/>
      <c r="E29" s="67"/>
      <c r="F29" s="67"/>
      <c r="G29" s="67"/>
      <c r="H29" s="67"/>
      <c r="I29" s="67"/>
      <c r="J29" s="67"/>
    </row>
    <row r="30" spans="1:10" ht="46.5" customHeight="1">
      <c r="A30" s="9"/>
      <c r="B30" s="770" t="s">
        <v>840</v>
      </c>
      <c r="C30" s="770"/>
      <c r="D30" s="770"/>
      <c r="E30" s="770"/>
      <c r="F30" s="770"/>
      <c r="G30" s="770"/>
      <c r="H30" s="770"/>
      <c r="I30" s="770"/>
      <c r="J30" s="770"/>
    </row>
    <row r="31" spans="1:10" ht="15.75">
      <c r="B31" s="68" t="s">
        <v>122</v>
      </c>
      <c r="C31" s="4"/>
      <c r="D31" s="4"/>
      <c r="E31" s="4"/>
      <c r="F31" s="4"/>
      <c r="G31" s="4"/>
      <c r="H31" s="4"/>
      <c r="I31" s="4"/>
      <c r="J31" s="4"/>
    </row>
  </sheetData>
  <mergeCells count="1">
    <mergeCell ref="B30:J30"/>
  </mergeCells>
  <printOptions horizontalCentered="1"/>
  <pageMargins left="0.7" right="0.7" top="0.75" bottom="0.75" header="0.3" footer="0.3"/>
  <pageSetup scale="80" orientation="landscape" r:id="rId1"/>
  <ignoredErrors>
    <ignoredError sqref="J27:J28 J20:J25" formulaRange="1"/>
    <ignoredError sqref="J26" formula="1" formulaRange="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sheetPr>
  <dimension ref="A1:Y60"/>
  <sheetViews>
    <sheetView workbookViewId="0">
      <pane xSplit="2" ySplit="5" topLeftCell="P6" activePane="bottomRight" state="frozen"/>
      <selection pane="topRight" activeCell="C1" sqref="C1"/>
      <selection pane="bottomLeft" activeCell="A6" sqref="A6"/>
      <selection pane="bottomRight" activeCell="T18" sqref="T18"/>
    </sheetView>
  </sheetViews>
  <sheetFormatPr baseColWidth="10" defaultRowHeight="15"/>
  <cols>
    <col min="2" max="2" width="35.7109375" customWidth="1"/>
    <col min="3" max="13" width="11.42578125" customWidth="1"/>
  </cols>
  <sheetData>
    <row r="1" spans="1:22">
      <c r="A1" s="69"/>
      <c r="B1" s="69"/>
      <c r="C1" s="69"/>
      <c r="D1" s="69"/>
      <c r="E1" s="69"/>
      <c r="F1" s="69"/>
      <c r="G1" s="69"/>
      <c r="H1" s="69"/>
      <c r="I1" s="69"/>
      <c r="J1" s="69"/>
      <c r="K1" s="69"/>
      <c r="L1" s="69"/>
      <c r="M1" s="69"/>
      <c r="N1" s="69"/>
      <c r="O1" s="69"/>
      <c r="P1" s="69"/>
      <c r="Q1" s="69"/>
      <c r="R1" s="69"/>
      <c r="S1" s="69"/>
      <c r="T1" s="69"/>
    </row>
    <row r="2" spans="1:22">
      <c r="A2" s="69"/>
      <c r="B2" s="70" t="s">
        <v>729</v>
      </c>
      <c r="C2" s="69"/>
      <c r="D2" s="69"/>
      <c r="E2" s="69"/>
      <c r="F2" s="69"/>
      <c r="G2" s="69"/>
      <c r="H2" s="69"/>
      <c r="I2" s="69"/>
      <c r="J2" s="69"/>
      <c r="K2" s="69"/>
      <c r="L2" s="69"/>
      <c r="M2" s="69"/>
      <c r="N2" s="69"/>
      <c r="O2" s="69"/>
      <c r="P2" s="69" t="s">
        <v>123</v>
      </c>
      <c r="Q2" s="69"/>
      <c r="R2" s="69"/>
      <c r="S2" s="69"/>
      <c r="T2" s="69"/>
    </row>
    <row r="3" spans="1:22">
      <c r="A3" s="69"/>
      <c r="B3" s="69"/>
      <c r="C3" s="69"/>
      <c r="D3" s="69"/>
      <c r="E3" s="69"/>
      <c r="F3" s="69"/>
      <c r="G3" s="69"/>
      <c r="H3" s="69"/>
      <c r="I3" s="69"/>
      <c r="J3" s="69"/>
      <c r="K3" s="69"/>
      <c r="L3" s="69"/>
      <c r="M3" s="69"/>
      <c r="N3" s="69"/>
      <c r="O3" s="69"/>
      <c r="P3" t="s">
        <v>841</v>
      </c>
      <c r="Q3" s="69"/>
      <c r="R3" s="69"/>
      <c r="S3" s="69"/>
      <c r="T3" s="69"/>
    </row>
    <row r="4" spans="1:22">
      <c r="A4" s="69"/>
      <c r="B4" s="69"/>
      <c r="C4" s="69"/>
      <c r="D4" s="69"/>
      <c r="E4" s="69"/>
      <c r="F4" s="69"/>
      <c r="G4" s="69"/>
      <c r="H4" s="69"/>
      <c r="I4" s="69"/>
      <c r="J4" s="69"/>
      <c r="K4" s="69"/>
      <c r="L4" s="69"/>
      <c r="M4" s="69"/>
      <c r="N4" s="69"/>
      <c r="O4" s="69"/>
      <c r="P4" s="6" t="s">
        <v>831</v>
      </c>
      <c r="Q4" s="69"/>
      <c r="R4" s="69"/>
      <c r="S4" s="69"/>
      <c r="T4" s="69"/>
      <c r="U4" s="69"/>
      <c r="V4" s="69"/>
    </row>
    <row r="5" spans="1:22">
      <c r="A5" s="69"/>
      <c r="B5" s="69"/>
      <c r="C5" s="71">
        <v>2000</v>
      </c>
      <c r="D5" s="71">
        <v>2001</v>
      </c>
      <c r="E5" s="71">
        <v>2002</v>
      </c>
      <c r="F5" s="71">
        <v>2003</v>
      </c>
      <c r="G5" s="71">
        <v>2004</v>
      </c>
      <c r="H5" s="71">
        <v>2005</v>
      </c>
      <c r="I5" s="71">
        <v>2006</v>
      </c>
      <c r="J5" s="71">
        <v>2007</v>
      </c>
      <c r="K5" s="71">
        <v>2008</v>
      </c>
      <c r="L5" s="71">
        <v>2009</v>
      </c>
      <c r="M5" s="71">
        <v>2010</v>
      </c>
      <c r="N5" s="71">
        <v>2011</v>
      </c>
      <c r="O5" s="71">
        <v>2012</v>
      </c>
      <c r="P5" s="71">
        <v>2013</v>
      </c>
      <c r="Q5" s="72">
        <v>2014</v>
      </c>
      <c r="R5" s="72">
        <v>2015</v>
      </c>
      <c r="S5" s="72">
        <v>2016</v>
      </c>
      <c r="T5" s="72">
        <v>2017</v>
      </c>
      <c r="U5" s="72">
        <v>2018</v>
      </c>
      <c r="V5" s="72" t="s">
        <v>773</v>
      </c>
    </row>
    <row r="6" spans="1:22">
      <c r="A6" s="69"/>
      <c r="B6" s="69" t="s">
        <v>116</v>
      </c>
      <c r="C6" s="69">
        <v>745.6</v>
      </c>
      <c r="D6" s="69">
        <v>992.1</v>
      </c>
      <c r="E6" s="69">
        <v>1084.5999999999999</v>
      </c>
      <c r="F6" s="69">
        <v>1091.7</v>
      </c>
      <c r="G6" s="73">
        <v>1176</v>
      </c>
      <c r="H6" s="73">
        <v>1364</v>
      </c>
      <c r="I6" s="73">
        <v>1097.5999999999999</v>
      </c>
      <c r="J6" s="73">
        <v>1206.3</v>
      </c>
      <c r="K6" s="73">
        <v>1407.9</v>
      </c>
      <c r="L6" s="74">
        <v>1644.2000000000003</v>
      </c>
      <c r="M6" s="74">
        <v>1623.1679999999999</v>
      </c>
      <c r="N6" s="74">
        <v>1777.3150000000001</v>
      </c>
      <c r="O6" s="74">
        <v>1927.8</v>
      </c>
      <c r="P6" s="75">
        <v>2107.1999999999998</v>
      </c>
      <c r="Q6" s="75">
        <v>2115.5</v>
      </c>
      <c r="R6" s="74">
        <v>2223.9</v>
      </c>
      <c r="S6" s="76">
        <v>2212.9</v>
      </c>
      <c r="T6" s="76">
        <v>2283.6</v>
      </c>
      <c r="U6" s="76">
        <v>2330.1</v>
      </c>
      <c r="V6" s="754">
        <v>1265.4000000000001</v>
      </c>
    </row>
    <row r="7" spans="1:22">
      <c r="A7" s="69"/>
      <c r="B7" s="69" t="s">
        <v>117</v>
      </c>
      <c r="C7" s="69">
        <v>273</v>
      </c>
      <c r="D7" s="69">
        <v>293.2</v>
      </c>
      <c r="E7" s="69">
        <v>334.3</v>
      </c>
      <c r="F7" s="69">
        <v>262.60000000000002</v>
      </c>
      <c r="G7" s="69">
        <v>281.2</v>
      </c>
      <c r="H7" s="69">
        <v>388</v>
      </c>
      <c r="I7" s="69">
        <v>451.8</v>
      </c>
      <c r="J7" s="69">
        <v>411.8</v>
      </c>
      <c r="K7" s="69">
        <v>454.8</v>
      </c>
      <c r="L7" s="74">
        <v>464.8</v>
      </c>
      <c r="M7" s="74">
        <v>517.79499999999996</v>
      </c>
      <c r="N7" s="74">
        <v>540.755</v>
      </c>
      <c r="O7" s="74">
        <v>519</v>
      </c>
      <c r="P7" s="75">
        <v>516.9</v>
      </c>
      <c r="Q7" s="75">
        <v>445.3</v>
      </c>
      <c r="R7" s="74">
        <v>433.8</v>
      </c>
      <c r="S7" s="76">
        <v>397.2</v>
      </c>
      <c r="T7" s="76">
        <v>535.1</v>
      </c>
      <c r="U7" s="76">
        <v>478.9</v>
      </c>
      <c r="V7" s="754">
        <v>271.7</v>
      </c>
    </row>
    <row r="8" spans="1:22">
      <c r="A8" s="69"/>
      <c r="B8" s="69" t="s">
        <v>118</v>
      </c>
      <c r="C8" s="69">
        <v>303.60000000000002</v>
      </c>
      <c r="D8" s="69">
        <v>333.2</v>
      </c>
      <c r="E8" s="69">
        <v>1088.7</v>
      </c>
      <c r="F8" s="69">
        <v>421.3</v>
      </c>
      <c r="G8" s="69">
        <v>557.9</v>
      </c>
      <c r="H8" s="69">
        <v>580</v>
      </c>
      <c r="I8" s="69">
        <v>873</v>
      </c>
      <c r="J8" s="69">
        <v>725.4</v>
      </c>
      <c r="K8" s="69">
        <v>692</v>
      </c>
      <c r="L8" s="74">
        <v>1482.2</v>
      </c>
      <c r="M8" s="74">
        <v>774.59100000000001</v>
      </c>
      <c r="N8" s="74">
        <v>1402.3340000000001</v>
      </c>
      <c r="O8" s="74">
        <v>742.1</v>
      </c>
      <c r="P8" s="75">
        <v>769.1</v>
      </c>
      <c r="Q8" s="76">
        <v>1953.1</v>
      </c>
      <c r="R8" s="74">
        <v>793.7</v>
      </c>
      <c r="S8" s="76">
        <v>889</v>
      </c>
      <c r="T8" s="76">
        <v>969.5</v>
      </c>
      <c r="U8" s="76">
        <v>1017.6</v>
      </c>
      <c r="V8" s="754">
        <v>521.4</v>
      </c>
    </row>
    <row r="9" spans="1:22">
      <c r="A9" s="69"/>
      <c r="B9" s="69" t="s">
        <v>114</v>
      </c>
      <c r="C9" s="69">
        <v>270.8</v>
      </c>
      <c r="D9" s="69">
        <v>279.5</v>
      </c>
      <c r="E9" s="69">
        <v>311.39999999999998</v>
      </c>
      <c r="F9" s="69">
        <v>267.89999999999998</v>
      </c>
      <c r="G9" s="69">
        <v>269.3</v>
      </c>
      <c r="H9" s="69">
        <v>299.60000000000002</v>
      </c>
      <c r="I9" s="69">
        <v>344.2</v>
      </c>
      <c r="J9" s="69">
        <v>359.2</v>
      </c>
      <c r="K9" s="69">
        <v>396.1</v>
      </c>
      <c r="L9" s="74">
        <v>413.3</v>
      </c>
      <c r="M9" s="74">
        <v>425.06</v>
      </c>
      <c r="N9" s="74">
        <v>460.40800000000002</v>
      </c>
      <c r="O9" s="74">
        <v>480.3</v>
      </c>
      <c r="P9" s="75">
        <v>506</v>
      </c>
      <c r="Q9" s="75">
        <v>486.8</v>
      </c>
      <c r="R9" s="74">
        <v>493.8</v>
      </c>
      <c r="S9" s="76">
        <v>476.4</v>
      </c>
      <c r="T9" s="76">
        <v>510.4</v>
      </c>
      <c r="U9" s="76">
        <v>538.4</v>
      </c>
      <c r="V9" s="754">
        <v>253.1</v>
      </c>
    </row>
    <row r="10" spans="1:22">
      <c r="A10" s="69"/>
      <c r="B10" s="69" t="s">
        <v>124</v>
      </c>
      <c r="C10" s="69">
        <v>310.3</v>
      </c>
      <c r="D10" s="69">
        <v>315.3</v>
      </c>
      <c r="E10" s="69">
        <v>339</v>
      </c>
      <c r="F10" s="69">
        <v>335</v>
      </c>
      <c r="G10" s="69">
        <v>349.5</v>
      </c>
      <c r="H10" s="69">
        <v>387.6</v>
      </c>
      <c r="I10" s="69">
        <v>426.8</v>
      </c>
      <c r="J10" s="69">
        <v>473.7</v>
      </c>
      <c r="K10" s="69">
        <v>576.1</v>
      </c>
      <c r="L10" s="74">
        <v>550.1</v>
      </c>
      <c r="M10" s="74">
        <v>597.327</v>
      </c>
      <c r="N10" s="74">
        <v>625.63900000000001</v>
      </c>
      <c r="O10" s="74">
        <v>637.20000000000005</v>
      </c>
      <c r="P10" s="75">
        <v>679.1</v>
      </c>
      <c r="Q10" s="75">
        <v>683.2</v>
      </c>
      <c r="R10" s="74">
        <v>792.9</v>
      </c>
      <c r="S10" s="76">
        <v>796.6</v>
      </c>
      <c r="T10" s="76">
        <v>844.8</v>
      </c>
      <c r="U10" s="76">
        <v>831.6</v>
      </c>
      <c r="V10" s="754">
        <v>403.8</v>
      </c>
    </row>
    <row r="11" spans="1:22">
      <c r="A11" s="69"/>
      <c r="B11" s="69" t="s">
        <v>125</v>
      </c>
      <c r="C11" s="69">
        <v>165</v>
      </c>
      <c r="D11" s="69">
        <v>132.9</v>
      </c>
      <c r="E11" s="69">
        <v>184.6</v>
      </c>
      <c r="F11" s="69">
        <v>133.19999999999999</v>
      </c>
      <c r="G11" s="69">
        <v>172.2</v>
      </c>
      <c r="H11" s="69">
        <v>113</v>
      </c>
      <c r="I11" s="69">
        <v>427.4</v>
      </c>
      <c r="J11" s="69">
        <v>64.400000000000006</v>
      </c>
      <c r="K11" s="69">
        <v>63</v>
      </c>
      <c r="L11" s="74">
        <v>272.5</v>
      </c>
      <c r="M11" s="74">
        <v>57.521999999999998</v>
      </c>
      <c r="N11" s="74">
        <v>57.081000000000003</v>
      </c>
      <c r="O11" s="74">
        <v>35.1</v>
      </c>
      <c r="P11" s="75">
        <v>47.6</v>
      </c>
      <c r="Q11" s="76">
        <v>58</v>
      </c>
      <c r="R11" s="74">
        <v>37.799999999999997</v>
      </c>
      <c r="S11" s="76">
        <v>32.799999999999997</v>
      </c>
      <c r="T11" s="76">
        <v>80</v>
      </c>
      <c r="U11" s="76">
        <v>88.2</v>
      </c>
      <c r="V11" s="754">
        <v>47</v>
      </c>
    </row>
    <row r="12" spans="1:22" hidden="1">
      <c r="A12" s="69"/>
      <c r="B12" s="69" t="s">
        <v>120</v>
      </c>
      <c r="C12" s="69">
        <v>4.4000000000000004</v>
      </c>
      <c r="D12" s="69">
        <v>45.9</v>
      </c>
      <c r="E12" s="69">
        <v>0</v>
      </c>
      <c r="F12" s="69">
        <v>38.299999999999997</v>
      </c>
      <c r="G12" s="69">
        <v>0</v>
      </c>
      <c r="H12" s="69">
        <v>0</v>
      </c>
      <c r="I12" s="69">
        <v>13.7</v>
      </c>
      <c r="J12" s="69">
        <v>17.5</v>
      </c>
      <c r="K12" s="69">
        <v>34.200000000000003</v>
      </c>
      <c r="L12" s="74">
        <v>0</v>
      </c>
      <c r="M12" s="74">
        <v>0</v>
      </c>
      <c r="N12" s="74">
        <v>0</v>
      </c>
      <c r="O12" s="74">
        <v>0</v>
      </c>
      <c r="P12" s="75">
        <v>0</v>
      </c>
      <c r="Q12" s="74">
        <v>0</v>
      </c>
      <c r="R12" s="74">
        <v>0</v>
      </c>
      <c r="S12" s="69"/>
      <c r="T12" s="69"/>
    </row>
    <row r="13" spans="1:22">
      <c r="A13" s="69"/>
      <c r="B13" s="69"/>
      <c r="C13" s="69"/>
      <c r="D13" s="69"/>
      <c r="E13" s="69"/>
      <c r="F13" s="69"/>
      <c r="G13" s="69"/>
      <c r="H13" s="69"/>
      <c r="I13" s="69"/>
      <c r="J13" s="69"/>
      <c r="K13" s="69"/>
      <c r="L13" s="69"/>
      <c r="M13" s="69"/>
      <c r="N13" s="69"/>
      <c r="O13" s="69"/>
      <c r="P13" s="77"/>
      <c r="Q13" s="69"/>
      <c r="R13" s="69"/>
      <c r="S13" s="69"/>
      <c r="T13" s="69"/>
    </row>
    <row r="18" spans="20:25">
      <c r="T18" s="23"/>
      <c r="U18" s="23"/>
      <c r="V18" s="23"/>
      <c r="W18" s="23"/>
      <c r="X18" s="23"/>
      <c r="Y18" s="23"/>
    </row>
    <row r="19" spans="20:25">
      <c r="T19" s="23"/>
      <c r="U19" s="23"/>
      <c r="V19" s="23"/>
      <c r="W19" s="23"/>
      <c r="X19" s="23"/>
      <c r="Y19" s="23"/>
    </row>
    <row r="44" spans="17:23">
      <c r="Q44" s="23"/>
      <c r="R44" s="23"/>
      <c r="S44" s="23"/>
      <c r="T44" s="23"/>
      <c r="U44" s="23"/>
      <c r="V44" s="23"/>
      <c r="W44" s="23"/>
    </row>
    <row r="45" spans="17:23">
      <c r="Q45" s="23"/>
      <c r="R45" s="23"/>
      <c r="S45" s="23"/>
      <c r="T45" s="23"/>
      <c r="U45" s="23"/>
      <c r="V45" s="23"/>
      <c r="W45" s="23"/>
    </row>
    <row r="46" spans="17:23">
      <c r="Q46" s="23"/>
      <c r="R46" s="23"/>
      <c r="S46" s="23"/>
      <c r="T46" s="23"/>
      <c r="U46" s="23"/>
      <c r="V46" s="23"/>
      <c r="W46" s="23"/>
    </row>
    <row r="47" spans="17:23">
      <c r="Q47" s="23"/>
      <c r="R47" s="23"/>
      <c r="S47" s="23"/>
      <c r="T47" s="23"/>
      <c r="U47" s="23"/>
      <c r="V47" s="23"/>
      <c r="W47" s="23"/>
    </row>
    <row r="48" spans="17:23">
      <c r="Q48" s="23"/>
      <c r="R48" s="23"/>
      <c r="S48" s="23"/>
      <c r="T48" s="23"/>
      <c r="U48" s="23"/>
      <c r="V48" s="23"/>
      <c r="W48" s="23"/>
    </row>
    <row r="49" spans="17:23">
      <c r="Q49" s="23"/>
      <c r="R49" s="23"/>
      <c r="S49" s="23"/>
      <c r="T49" s="23"/>
      <c r="U49" s="23"/>
      <c r="V49" s="23"/>
      <c r="W49" s="23"/>
    </row>
    <row r="50" spans="17:23">
      <c r="Q50" s="23"/>
      <c r="R50" s="23"/>
      <c r="S50" s="23"/>
      <c r="T50" s="23"/>
      <c r="U50" s="23"/>
      <c r="V50" s="23"/>
      <c r="W50" s="23"/>
    </row>
    <row r="51" spans="17:23">
      <c r="Q51" s="23"/>
      <c r="R51" s="23"/>
      <c r="S51" s="23"/>
      <c r="T51" s="23"/>
      <c r="U51" s="23"/>
      <c r="V51" s="23"/>
      <c r="W51" s="23"/>
    </row>
    <row r="52" spans="17:23">
      <c r="Q52" s="23"/>
      <c r="R52" s="23"/>
      <c r="S52" s="23"/>
      <c r="T52" s="23"/>
      <c r="U52" s="23"/>
      <c r="V52" s="23"/>
      <c r="W52" s="23"/>
    </row>
    <row r="53" spans="17:23">
      <c r="Q53" s="23"/>
      <c r="R53" s="23"/>
      <c r="S53" s="23"/>
      <c r="T53" s="23"/>
      <c r="U53" s="23"/>
      <c r="V53" s="23"/>
      <c r="W53" s="23"/>
    </row>
    <row r="54" spans="17:23">
      <c r="Q54" s="23"/>
      <c r="R54" s="23"/>
      <c r="S54" s="23"/>
      <c r="T54" s="23"/>
      <c r="U54" s="23"/>
      <c r="V54" s="23"/>
      <c r="W54" s="23"/>
    </row>
    <row r="55" spans="17:23">
      <c r="Q55" s="23"/>
      <c r="R55" s="23"/>
      <c r="S55" s="23"/>
      <c r="T55" s="23"/>
      <c r="U55" s="23"/>
      <c r="V55" s="23"/>
      <c r="W55" s="23"/>
    </row>
    <row r="56" spans="17:23">
      <c r="Q56" s="23"/>
      <c r="R56" s="23"/>
      <c r="S56" s="23"/>
      <c r="T56" s="23"/>
      <c r="U56" s="23"/>
      <c r="V56" s="23"/>
      <c r="W56" s="23"/>
    </row>
    <row r="57" spans="17:23">
      <c r="Q57" s="23"/>
      <c r="R57" s="23"/>
      <c r="S57" s="23"/>
      <c r="T57" s="23"/>
      <c r="U57" s="23"/>
      <c r="V57" s="23"/>
      <c r="W57" s="23"/>
    </row>
    <row r="58" spans="17:23">
      <c r="Q58" s="23"/>
      <c r="R58" s="23"/>
      <c r="S58" s="23"/>
      <c r="T58" s="23"/>
      <c r="U58" s="23"/>
      <c r="V58" s="23"/>
      <c r="W58" s="23"/>
    </row>
    <row r="59" spans="17:23">
      <c r="Q59" s="23"/>
      <c r="R59" s="23"/>
      <c r="S59" s="23"/>
      <c r="T59" s="23"/>
      <c r="U59" s="23"/>
      <c r="V59" s="23"/>
      <c r="W59" s="23"/>
    </row>
    <row r="60" spans="17:23">
      <c r="Q60" s="23"/>
      <c r="R60" s="23"/>
      <c r="S60" s="23"/>
      <c r="T60" s="23"/>
      <c r="U60" s="23"/>
      <c r="V60" s="23"/>
      <c r="W60" s="23"/>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A1:K31"/>
  <sheetViews>
    <sheetView workbookViewId="0">
      <pane xSplit="2" ySplit="5" topLeftCell="C6" activePane="bottomRight" state="frozen"/>
      <selection pane="topRight" activeCell="C1" sqref="C1"/>
      <selection pane="bottomLeft" activeCell="A6" sqref="A6"/>
      <selection pane="bottomRight" activeCell="F15" sqref="F15"/>
    </sheetView>
  </sheetViews>
  <sheetFormatPr baseColWidth="10" defaultRowHeight="18.75"/>
  <cols>
    <col min="1" max="1" width="9.7109375" style="78" customWidth="1"/>
    <col min="2" max="2" width="48" style="78" customWidth="1"/>
    <col min="3" max="3" width="13.42578125" style="78" customWidth="1"/>
    <col min="4" max="5" width="12.7109375" style="78" customWidth="1"/>
    <col min="6" max="6" width="14.5703125" style="78" customWidth="1"/>
    <col min="7" max="8" width="12.7109375" style="78" customWidth="1"/>
    <col min="9" max="256" width="11.42578125" style="78"/>
    <col min="257" max="257" width="9.7109375" style="78" customWidth="1"/>
    <col min="258" max="258" width="48" style="78" customWidth="1"/>
    <col min="259" max="264" width="12.7109375" style="78" customWidth="1"/>
    <col min="265" max="512" width="11.42578125" style="78"/>
    <col min="513" max="513" width="9.7109375" style="78" customWidth="1"/>
    <col min="514" max="514" width="48" style="78" customWidth="1"/>
    <col min="515" max="520" width="12.7109375" style="78" customWidth="1"/>
    <col min="521" max="768" width="11.42578125" style="78"/>
    <col min="769" max="769" width="9.7109375" style="78" customWidth="1"/>
    <col min="770" max="770" width="48" style="78" customWidth="1"/>
    <col min="771" max="776" width="12.7109375" style="78" customWidth="1"/>
    <col min="777" max="1024" width="11.42578125" style="78"/>
    <col min="1025" max="1025" width="9.7109375" style="78" customWidth="1"/>
    <col min="1026" max="1026" width="48" style="78" customWidth="1"/>
    <col min="1027" max="1032" width="12.7109375" style="78" customWidth="1"/>
    <col min="1033" max="1280" width="11.42578125" style="78"/>
    <col min="1281" max="1281" width="9.7109375" style="78" customWidth="1"/>
    <col min="1282" max="1282" width="48" style="78" customWidth="1"/>
    <col min="1283" max="1288" width="12.7109375" style="78" customWidth="1"/>
    <col min="1289" max="1536" width="11.42578125" style="78"/>
    <col min="1537" max="1537" width="9.7109375" style="78" customWidth="1"/>
    <col min="1538" max="1538" width="48" style="78" customWidth="1"/>
    <col min="1539" max="1544" width="12.7109375" style="78" customWidth="1"/>
    <col min="1545" max="1792" width="11.42578125" style="78"/>
    <col min="1793" max="1793" width="9.7109375" style="78" customWidth="1"/>
    <col min="1794" max="1794" width="48" style="78" customWidth="1"/>
    <col min="1795" max="1800" width="12.7109375" style="78" customWidth="1"/>
    <col min="1801" max="2048" width="11.42578125" style="78"/>
    <col min="2049" max="2049" width="9.7109375" style="78" customWidth="1"/>
    <col min="2050" max="2050" width="48" style="78" customWidth="1"/>
    <col min="2051" max="2056" width="12.7109375" style="78" customWidth="1"/>
    <col min="2057" max="2304" width="11.42578125" style="78"/>
    <col min="2305" max="2305" width="9.7109375" style="78" customWidth="1"/>
    <col min="2306" max="2306" width="48" style="78" customWidth="1"/>
    <col min="2307" max="2312" width="12.7109375" style="78" customWidth="1"/>
    <col min="2313" max="2560" width="11.42578125" style="78"/>
    <col min="2561" max="2561" width="9.7109375" style="78" customWidth="1"/>
    <col min="2562" max="2562" width="48" style="78" customWidth="1"/>
    <col min="2563" max="2568" width="12.7109375" style="78" customWidth="1"/>
    <col min="2569" max="2816" width="11.42578125" style="78"/>
    <col min="2817" max="2817" width="9.7109375" style="78" customWidth="1"/>
    <col min="2818" max="2818" width="48" style="78" customWidth="1"/>
    <col min="2819" max="2824" width="12.7109375" style="78" customWidth="1"/>
    <col min="2825" max="3072" width="11.42578125" style="78"/>
    <col min="3073" max="3073" width="9.7109375" style="78" customWidth="1"/>
    <col min="3074" max="3074" width="48" style="78" customWidth="1"/>
    <col min="3075" max="3080" width="12.7109375" style="78" customWidth="1"/>
    <col min="3081" max="3328" width="11.42578125" style="78"/>
    <col min="3329" max="3329" width="9.7109375" style="78" customWidth="1"/>
    <col min="3330" max="3330" width="48" style="78" customWidth="1"/>
    <col min="3331" max="3336" width="12.7109375" style="78" customWidth="1"/>
    <col min="3337" max="3584" width="11.42578125" style="78"/>
    <col min="3585" max="3585" width="9.7109375" style="78" customWidth="1"/>
    <col min="3586" max="3586" width="48" style="78" customWidth="1"/>
    <col min="3587" max="3592" width="12.7109375" style="78" customWidth="1"/>
    <col min="3593" max="3840" width="11.42578125" style="78"/>
    <col min="3841" max="3841" width="9.7109375" style="78" customWidth="1"/>
    <col min="3842" max="3842" width="48" style="78" customWidth="1"/>
    <col min="3843" max="3848" width="12.7109375" style="78" customWidth="1"/>
    <col min="3849" max="4096" width="11.42578125" style="78"/>
    <col min="4097" max="4097" width="9.7109375" style="78" customWidth="1"/>
    <col min="4098" max="4098" width="48" style="78" customWidth="1"/>
    <col min="4099" max="4104" width="12.7109375" style="78" customWidth="1"/>
    <col min="4105" max="4352" width="11.42578125" style="78"/>
    <col min="4353" max="4353" width="9.7109375" style="78" customWidth="1"/>
    <col min="4354" max="4354" width="48" style="78" customWidth="1"/>
    <col min="4355" max="4360" width="12.7109375" style="78" customWidth="1"/>
    <col min="4361" max="4608" width="11.42578125" style="78"/>
    <col min="4609" max="4609" width="9.7109375" style="78" customWidth="1"/>
    <col min="4610" max="4610" width="48" style="78" customWidth="1"/>
    <col min="4611" max="4616" width="12.7109375" style="78" customWidth="1"/>
    <col min="4617" max="4864" width="11.42578125" style="78"/>
    <col min="4865" max="4865" width="9.7109375" style="78" customWidth="1"/>
    <col min="4866" max="4866" width="48" style="78" customWidth="1"/>
    <col min="4867" max="4872" width="12.7109375" style="78" customWidth="1"/>
    <col min="4873" max="5120" width="11.42578125" style="78"/>
    <col min="5121" max="5121" width="9.7109375" style="78" customWidth="1"/>
    <col min="5122" max="5122" width="48" style="78" customWidth="1"/>
    <col min="5123" max="5128" width="12.7109375" style="78" customWidth="1"/>
    <col min="5129" max="5376" width="11.42578125" style="78"/>
    <col min="5377" max="5377" width="9.7109375" style="78" customWidth="1"/>
    <col min="5378" max="5378" width="48" style="78" customWidth="1"/>
    <col min="5379" max="5384" width="12.7109375" style="78" customWidth="1"/>
    <col min="5385" max="5632" width="11.42578125" style="78"/>
    <col min="5633" max="5633" width="9.7109375" style="78" customWidth="1"/>
    <col min="5634" max="5634" width="48" style="78" customWidth="1"/>
    <col min="5635" max="5640" width="12.7109375" style="78" customWidth="1"/>
    <col min="5641" max="5888" width="11.42578125" style="78"/>
    <col min="5889" max="5889" width="9.7109375" style="78" customWidth="1"/>
    <col min="5890" max="5890" width="48" style="78" customWidth="1"/>
    <col min="5891" max="5896" width="12.7109375" style="78" customWidth="1"/>
    <col min="5897" max="6144" width="11.42578125" style="78"/>
    <col min="6145" max="6145" width="9.7109375" style="78" customWidth="1"/>
    <col min="6146" max="6146" width="48" style="78" customWidth="1"/>
    <col min="6147" max="6152" width="12.7109375" style="78" customWidth="1"/>
    <col min="6153" max="6400" width="11.42578125" style="78"/>
    <col min="6401" max="6401" width="9.7109375" style="78" customWidth="1"/>
    <col min="6402" max="6402" width="48" style="78" customWidth="1"/>
    <col min="6403" max="6408" width="12.7109375" style="78" customWidth="1"/>
    <col min="6409" max="6656" width="11.42578125" style="78"/>
    <col min="6657" max="6657" width="9.7109375" style="78" customWidth="1"/>
    <col min="6658" max="6658" width="48" style="78" customWidth="1"/>
    <col min="6659" max="6664" width="12.7109375" style="78" customWidth="1"/>
    <col min="6665" max="6912" width="11.42578125" style="78"/>
    <col min="6913" max="6913" width="9.7109375" style="78" customWidth="1"/>
    <col min="6914" max="6914" width="48" style="78" customWidth="1"/>
    <col min="6915" max="6920" width="12.7109375" style="78" customWidth="1"/>
    <col min="6921" max="7168" width="11.42578125" style="78"/>
    <col min="7169" max="7169" width="9.7109375" style="78" customWidth="1"/>
    <col min="7170" max="7170" width="48" style="78" customWidth="1"/>
    <col min="7171" max="7176" width="12.7109375" style="78" customWidth="1"/>
    <col min="7177" max="7424" width="11.42578125" style="78"/>
    <col min="7425" max="7425" width="9.7109375" style="78" customWidth="1"/>
    <col min="7426" max="7426" width="48" style="78" customWidth="1"/>
    <col min="7427" max="7432" width="12.7109375" style="78" customWidth="1"/>
    <col min="7433" max="7680" width="11.42578125" style="78"/>
    <col min="7681" max="7681" width="9.7109375" style="78" customWidth="1"/>
    <col min="7682" max="7682" width="48" style="78" customWidth="1"/>
    <col min="7683" max="7688" width="12.7109375" style="78" customWidth="1"/>
    <col min="7689" max="7936" width="11.42578125" style="78"/>
    <col min="7937" max="7937" width="9.7109375" style="78" customWidth="1"/>
    <col min="7938" max="7938" width="48" style="78" customWidth="1"/>
    <col min="7939" max="7944" width="12.7109375" style="78" customWidth="1"/>
    <col min="7945" max="8192" width="11.42578125" style="78"/>
    <col min="8193" max="8193" width="9.7109375" style="78" customWidth="1"/>
    <col min="8194" max="8194" width="48" style="78" customWidth="1"/>
    <col min="8195" max="8200" width="12.7109375" style="78" customWidth="1"/>
    <col min="8201" max="8448" width="11.42578125" style="78"/>
    <col min="8449" max="8449" width="9.7109375" style="78" customWidth="1"/>
    <col min="8450" max="8450" width="48" style="78" customWidth="1"/>
    <col min="8451" max="8456" width="12.7109375" style="78" customWidth="1"/>
    <col min="8457" max="8704" width="11.42578125" style="78"/>
    <col min="8705" max="8705" width="9.7109375" style="78" customWidth="1"/>
    <col min="8706" max="8706" width="48" style="78" customWidth="1"/>
    <col min="8707" max="8712" width="12.7109375" style="78" customWidth="1"/>
    <col min="8713" max="8960" width="11.42578125" style="78"/>
    <col min="8961" max="8961" width="9.7109375" style="78" customWidth="1"/>
    <col min="8962" max="8962" width="48" style="78" customWidth="1"/>
    <col min="8963" max="8968" width="12.7109375" style="78" customWidth="1"/>
    <col min="8969" max="9216" width="11.42578125" style="78"/>
    <col min="9217" max="9217" width="9.7109375" style="78" customWidth="1"/>
    <col min="9218" max="9218" width="48" style="78" customWidth="1"/>
    <col min="9219" max="9224" width="12.7109375" style="78" customWidth="1"/>
    <col min="9225" max="9472" width="11.42578125" style="78"/>
    <col min="9473" max="9473" width="9.7109375" style="78" customWidth="1"/>
    <col min="9474" max="9474" width="48" style="78" customWidth="1"/>
    <col min="9475" max="9480" width="12.7109375" style="78" customWidth="1"/>
    <col min="9481" max="9728" width="11.42578125" style="78"/>
    <col min="9729" max="9729" width="9.7109375" style="78" customWidth="1"/>
    <col min="9730" max="9730" width="48" style="78" customWidth="1"/>
    <col min="9731" max="9736" width="12.7109375" style="78" customWidth="1"/>
    <col min="9737" max="9984" width="11.42578125" style="78"/>
    <col min="9985" max="9985" width="9.7109375" style="78" customWidth="1"/>
    <col min="9986" max="9986" width="48" style="78" customWidth="1"/>
    <col min="9987" max="9992" width="12.7109375" style="78" customWidth="1"/>
    <col min="9993" max="10240" width="11.42578125" style="78"/>
    <col min="10241" max="10241" width="9.7109375" style="78" customWidth="1"/>
    <col min="10242" max="10242" width="48" style="78" customWidth="1"/>
    <col min="10243" max="10248" width="12.7109375" style="78" customWidth="1"/>
    <col min="10249" max="10496" width="11.42578125" style="78"/>
    <col min="10497" max="10497" width="9.7109375" style="78" customWidth="1"/>
    <col min="10498" max="10498" width="48" style="78" customWidth="1"/>
    <col min="10499" max="10504" width="12.7109375" style="78" customWidth="1"/>
    <col min="10505" max="10752" width="11.42578125" style="78"/>
    <col min="10753" max="10753" width="9.7109375" style="78" customWidth="1"/>
    <col min="10754" max="10754" width="48" style="78" customWidth="1"/>
    <col min="10755" max="10760" width="12.7109375" style="78" customWidth="1"/>
    <col min="10761" max="11008" width="11.42578125" style="78"/>
    <col min="11009" max="11009" width="9.7109375" style="78" customWidth="1"/>
    <col min="11010" max="11010" width="48" style="78" customWidth="1"/>
    <col min="11011" max="11016" width="12.7109375" style="78" customWidth="1"/>
    <col min="11017" max="11264" width="11.42578125" style="78"/>
    <col min="11265" max="11265" width="9.7109375" style="78" customWidth="1"/>
    <col min="11266" max="11266" width="48" style="78" customWidth="1"/>
    <col min="11267" max="11272" width="12.7109375" style="78" customWidth="1"/>
    <col min="11273" max="11520" width="11.42578125" style="78"/>
    <col min="11521" max="11521" width="9.7109375" style="78" customWidth="1"/>
    <col min="11522" max="11522" width="48" style="78" customWidth="1"/>
    <col min="11523" max="11528" width="12.7109375" style="78" customWidth="1"/>
    <col min="11529" max="11776" width="11.42578125" style="78"/>
    <col min="11777" max="11777" width="9.7109375" style="78" customWidth="1"/>
    <col min="11778" max="11778" width="48" style="78" customWidth="1"/>
    <col min="11779" max="11784" width="12.7109375" style="78" customWidth="1"/>
    <col min="11785" max="12032" width="11.42578125" style="78"/>
    <col min="12033" max="12033" width="9.7109375" style="78" customWidth="1"/>
    <col min="12034" max="12034" width="48" style="78" customWidth="1"/>
    <col min="12035" max="12040" width="12.7109375" style="78" customWidth="1"/>
    <col min="12041" max="12288" width="11.42578125" style="78"/>
    <col min="12289" max="12289" width="9.7109375" style="78" customWidth="1"/>
    <col min="12290" max="12290" width="48" style="78" customWidth="1"/>
    <col min="12291" max="12296" width="12.7109375" style="78" customWidth="1"/>
    <col min="12297" max="12544" width="11.42578125" style="78"/>
    <col min="12545" max="12545" width="9.7109375" style="78" customWidth="1"/>
    <col min="12546" max="12546" width="48" style="78" customWidth="1"/>
    <col min="12547" max="12552" width="12.7109375" style="78" customWidth="1"/>
    <col min="12553" max="12800" width="11.42578125" style="78"/>
    <col min="12801" max="12801" width="9.7109375" style="78" customWidth="1"/>
    <col min="12802" max="12802" width="48" style="78" customWidth="1"/>
    <col min="12803" max="12808" width="12.7109375" style="78" customWidth="1"/>
    <col min="12809" max="13056" width="11.42578125" style="78"/>
    <col min="13057" max="13057" width="9.7109375" style="78" customWidth="1"/>
    <col min="13058" max="13058" width="48" style="78" customWidth="1"/>
    <col min="13059" max="13064" width="12.7109375" style="78" customWidth="1"/>
    <col min="13065" max="13312" width="11.42578125" style="78"/>
    <col min="13313" max="13313" width="9.7109375" style="78" customWidth="1"/>
    <col min="13314" max="13314" width="48" style="78" customWidth="1"/>
    <col min="13315" max="13320" width="12.7109375" style="78" customWidth="1"/>
    <col min="13321" max="13568" width="11.42578125" style="78"/>
    <col min="13569" max="13569" width="9.7109375" style="78" customWidth="1"/>
    <col min="13570" max="13570" width="48" style="78" customWidth="1"/>
    <col min="13571" max="13576" width="12.7109375" style="78" customWidth="1"/>
    <col min="13577" max="13824" width="11.42578125" style="78"/>
    <col min="13825" max="13825" width="9.7109375" style="78" customWidth="1"/>
    <col min="13826" max="13826" width="48" style="78" customWidth="1"/>
    <col min="13827" max="13832" width="12.7109375" style="78" customWidth="1"/>
    <col min="13833" max="14080" width="11.42578125" style="78"/>
    <col min="14081" max="14081" width="9.7109375" style="78" customWidth="1"/>
    <col min="14082" max="14082" width="48" style="78" customWidth="1"/>
    <col min="14083" max="14088" width="12.7109375" style="78" customWidth="1"/>
    <col min="14089" max="14336" width="11.42578125" style="78"/>
    <col min="14337" max="14337" width="9.7109375" style="78" customWidth="1"/>
    <col min="14338" max="14338" width="48" style="78" customWidth="1"/>
    <col min="14339" max="14344" width="12.7109375" style="78" customWidth="1"/>
    <col min="14345" max="14592" width="11.42578125" style="78"/>
    <col min="14593" max="14593" width="9.7109375" style="78" customWidth="1"/>
    <col min="14594" max="14594" width="48" style="78" customWidth="1"/>
    <col min="14595" max="14600" width="12.7109375" style="78" customWidth="1"/>
    <col min="14601" max="14848" width="11.42578125" style="78"/>
    <col min="14849" max="14849" width="9.7109375" style="78" customWidth="1"/>
    <col min="14850" max="14850" width="48" style="78" customWidth="1"/>
    <col min="14851" max="14856" width="12.7109375" style="78" customWidth="1"/>
    <col min="14857" max="15104" width="11.42578125" style="78"/>
    <col min="15105" max="15105" width="9.7109375" style="78" customWidth="1"/>
    <col min="15106" max="15106" width="48" style="78" customWidth="1"/>
    <col min="15107" max="15112" width="12.7109375" style="78" customWidth="1"/>
    <col min="15113" max="15360" width="11.42578125" style="78"/>
    <col min="15361" max="15361" width="9.7109375" style="78" customWidth="1"/>
    <col min="15362" max="15362" width="48" style="78" customWidth="1"/>
    <col min="15363" max="15368" width="12.7109375" style="78" customWidth="1"/>
    <col min="15369" max="15616" width="11.42578125" style="78"/>
    <col min="15617" max="15617" width="9.7109375" style="78" customWidth="1"/>
    <col min="15618" max="15618" width="48" style="78" customWidth="1"/>
    <col min="15619" max="15624" width="12.7109375" style="78" customWidth="1"/>
    <col min="15625" max="15872" width="11.42578125" style="78"/>
    <col min="15873" max="15873" width="9.7109375" style="78" customWidth="1"/>
    <col min="15874" max="15874" width="48" style="78" customWidth="1"/>
    <col min="15875" max="15880" width="12.7109375" style="78" customWidth="1"/>
    <col min="15881" max="16128" width="11.42578125" style="78"/>
    <col min="16129" max="16129" width="9.7109375" style="78" customWidth="1"/>
    <col min="16130" max="16130" width="48" style="78" customWidth="1"/>
    <col min="16131" max="16136" width="12.7109375" style="78" customWidth="1"/>
    <col min="16137" max="16384" width="11.42578125" style="78"/>
  </cols>
  <sheetData>
    <row r="1" spans="1:11" ht="20.25">
      <c r="B1" s="773" t="s">
        <v>830</v>
      </c>
      <c r="C1" s="773"/>
      <c r="D1" s="773"/>
      <c r="E1" s="773"/>
      <c r="F1" s="773"/>
      <c r="G1" s="773"/>
      <c r="H1" s="773"/>
    </row>
    <row r="2" spans="1:11">
      <c r="B2" s="774" t="s">
        <v>126</v>
      </c>
      <c r="C2" s="774"/>
      <c r="D2" s="774"/>
      <c r="E2" s="774"/>
      <c r="F2" s="774"/>
      <c r="G2" s="774"/>
      <c r="H2" s="774"/>
    </row>
    <row r="3" spans="1:11" ht="19.5" thickBot="1"/>
    <row r="4" spans="1:11">
      <c r="B4" s="775" t="s">
        <v>127</v>
      </c>
      <c r="C4" s="777">
        <v>2018</v>
      </c>
      <c r="D4" s="777"/>
      <c r="E4" s="778" t="s">
        <v>128</v>
      </c>
      <c r="F4" s="777">
        <v>2019</v>
      </c>
      <c r="G4" s="777"/>
      <c r="H4" s="780" t="s">
        <v>128</v>
      </c>
    </row>
    <row r="5" spans="1:11" ht="37.5" customHeight="1">
      <c r="B5" s="776"/>
      <c r="C5" s="80" t="s">
        <v>843</v>
      </c>
      <c r="D5" s="81" t="s">
        <v>130</v>
      </c>
      <c r="E5" s="779"/>
      <c r="F5" s="80" t="s">
        <v>843</v>
      </c>
      <c r="G5" s="81" t="s">
        <v>130</v>
      </c>
      <c r="H5" s="781"/>
    </row>
    <row r="6" spans="1:11">
      <c r="B6" s="82" t="s">
        <v>116</v>
      </c>
      <c r="C6" s="83">
        <v>2385.1</v>
      </c>
      <c r="D6" s="84">
        <v>1185.0999999999999</v>
      </c>
      <c r="E6" s="85">
        <f>D6/C6*100</f>
        <v>49.687644123936103</v>
      </c>
      <c r="F6" s="83">
        <v>2600.8000000000002</v>
      </c>
      <c r="G6" s="84">
        <v>1265.4000000000001</v>
      </c>
      <c r="H6" s="86">
        <f>G6/F6*100</f>
        <v>48.654260227622274</v>
      </c>
    </row>
    <row r="7" spans="1:11">
      <c r="B7" s="82" t="s">
        <v>118</v>
      </c>
      <c r="C7" s="83">
        <v>1015.3</v>
      </c>
      <c r="D7" s="84">
        <v>502.9</v>
      </c>
      <c r="E7" s="84">
        <f t="shared" ref="E7:E12" si="0">D7/C7*100</f>
        <v>49.532157982862209</v>
      </c>
      <c r="F7" s="83">
        <v>1822.9</v>
      </c>
      <c r="G7" s="84">
        <v>521.4</v>
      </c>
      <c r="H7" s="86">
        <f t="shared" ref="H7:H12" si="1">G7/F7*100</f>
        <v>28.602775796807283</v>
      </c>
    </row>
    <row r="8" spans="1:11">
      <c r="B8" s="82" t="s">
        <v>115</v>
      </c>
      <c r="C8" s="83">
        <v>937.6</v>
      </c>
      <c r="D8" s="84">
        <v>356.1</v>
      </c>
      <c r="E8" s="84">
        <f t="shared" si="0"/>
        <v>37.979948805460751</v>
      </c>
      <c r="F8" s="83">
        <v>1016.3</v>
      </c>
      <c r="G8" s="84">
        <v>403.8</v>
      </c>
      <c r="H8" s="86">
        <f t="shared" si="1"/>
        <v>39.73236249139034</v>
      </c>
    </row>
    <row r="9" spans="1:11">
      <c r="B9" s="82" t="s">
        <v>117</v>
      </c>
      <c r="C9" s="83">
        <v>517</v>
      </c>
      <c r="D9" s="84">
        <v>241.8</v>
      </c>
      <c r="E9" s="84">
        <f t="shared" si="0"/>
        <v>46.769825918762095</v>
      </c>
      <c r="F9" s="83">
        <v>676.7</v>
      </c>
      <c r="G9" s="84">
        <v>271.7</v>
      </c>
      <c r="H9" s="86">
        <f t="shared" si="1"/>
        <v>40.150731491059553</v>
      </c>
    </row>
    <row r="10" spans="1:11">
      <c r="B10" s="82" t="s">
        <v>114</v>
      </c>
      <c r="C10" s="83">
        <v>520.5</v>
      </c>
      <c r="D10" s="84">
        <v>246.8</v>
      </c>
      <c r="E10" s="84">
        <f t="shared" si="0"/>
        <v>47.415946205571572</v>
      </c>
      <c r="F10" s="83">
        <v>518.9</v>
      </c>
      <c r="G10" s="84">
        <v>253.1</v>
      </c>
      <c r="H10" s="86">
        <f t="shared" si="1"/>
        <v>48.776257467720178</v>
      </c>
    </row>
    <row r="11" spans="1:11">
      <c r="B11" s="87" t="s">
        <v>119</v>
      </c>
      <c r="C11" s="88">
        <v>105.4</v>
      </c>
      <c r="D11" s="89">
        <v>38.6</v>
      </c>
      <c r="E11" s="89">
        <f t="shared" si="0"/>
        <v>36.62239089184061</v>
      </c>
      <c r="F11" s="88">
        <v>108.2</v>
      </c>
      <c r="G11" s="89">
        <v>47</v>
      </c>
      <c r="H11" s="90">
        <f t="shared" si="1"/>
        <v>43.438077634011094</v>
      </c>
    </row>
    <row r="12" spans="1:11" s="69" customFormat="1" ht="19.5" thickBot="1">
      <c r="B12" s="91" t="s">
        <v>131</v>
      </c>
      <c r="C12" s="92">
        <f>SUM(C6:C11)</f>
        <v>5480.9</v>
      </c>
      <c r="D12" s="92">
        <f>SUM(D6:D11)</f>
        <v>2571.3000000000002</v>
      </c>
      <c r="E12" s="92">
        <f t="shared" si="0"/>
        <v>46.913828020945466</v>
      </c>
      <c r="F12" s="92">
        <f>SUM(F6:F11)</f>
        <v>6743.8</v>
      </c>
      <c r="G12" s="92">
        <f>SUM(G6:G11)</f>
        <v>2762.4</v>
      </c>
      <c r="H12" s="93">
        <f t="shared" si="1"/>
        <v>40.962068863252171</v>
      </c>
      <c r="J12" s="78"/>
      <c r="K12" s="78"/>
    </row>
    <row r="13" spans="1:11" s="69" customFormat="1" ht="48" customHeight="1">
      <c r="A13" s="117"/>
      <c r="B13" s="771" t="s">
        <v>842</v>
      </c>
      <c r="C13" s="772"/>
      <c r="D13" s="772"/>
      <c r="E13" s="772"/>
      <c r="F13" s="772"/>
      <c r="G13" s="772"/>
      <c r="H13" s="772"/>
      <c r="K13" s="78"/>
    </row>
    <row r="14" spans="1:11" s="69" customFormat="1" ht="23.25">
      <c r="B14" s="94"/>
      <c r="C14" s="94"/>
      <c r="D14" s="94"/>
      <c r="E14" s="94"/>
    </row>
    <row r="15" spans="1:11" s="69" customFormat="1" ht="23.25">
      <c r="C15" s="94"/>
      <c r="D15" s="94"/>
    </row>
    <row r="16" spans="1:11" ht="23.25">
      <c r="B16" s="69"/>
      <c r="C16" s="94"/>
      <c r="D16" s="94"/>
    </row>
    <row r="17" spans="2:5">
      <c r="B17" s="69"/>
      <c r="C17" s="69"/>
      <c r="D17" s="69"/>
    </row>
    <row r="18" spans="2:5">
      <c r="B18" s="69"/>
      <c r="C18" s="69"/>
      <c r="D18" s="69"/>
    </row>
    <row r="19" spans="2:5">
      <c r="B19" s="69"/>
      <c r="C19" s="69"/>
      <c r="D19" s="69"/>
    </row>
    <row r="20" spans="2:5">
      <c r="B20" s="69"/>
      <c r="C20" s="69"/>
      <c r="D20" s="69"/>
    </row>
    <row r="21" spans="2:5">
      <c r="B21" s="69"/>
      <c r="C21" s="69"/>
      <c r="D21" s="69"/>
    </row>
    <row r="22" spans="2:5">
      <c r="B22" s="69"/>
      <c r="C22" s="69"/>
      <c r="D22" s="69"/>
    </row>
    <row r="23" spans="2:5">
      <c r="B23" s="69"/>
      <c r="C23" s="69"/>
      <c r="D23" s="69"/>
    </row>
    <row r="30" spans="2:5">
      <c r="E30" s="95"/>
    </row>
    <row r="31" spans="2:5">
      <c r="B31" s="95"/>
      <c r="C31" s="95"/>
      <c r="D31" s="95"/>
      <c r="E31" s="95"/>
    </row>
  </sheetData>
  <mergeCells count="8">
    <mergeCell ref="B13:H13"/>
    <mergeCell ref="B1:H1"/>
    <mergeCell ref="B2:H2"/>
    <mergeCell ref="B4:B5"/>
    <mergeCell ref="C4:D4"/>
    <mergeCell ref="E4:E5"/>
    <mergeCell ref="F4:G4"/>
    <mergeCell ref="H4:H5"/>
  </mergeCells>
  <printOptions horizontalCentered="1"/>
  <pageMargins left="0.7" right="0.7" top="0.75" bottom="0.75" header="0.3" footer="0.3"/>
  <pageSetup scale="91" orientation="landscape" r:id="rId1"/>
  <ignoredErrors>
    <ignoredError sqref="E12"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B1:J55"/>
  <sheetViews>
    <sheetView workbookViewId="0">
      <pane xSplit="2" ySplit="4" topLeftCell="D5" activePane="bottomRight" state="frozen"/>
      <selection pane="topRight" activeCell="C1" sqref="C1"/>
      <selection pane="bottomLeft" activeCell="A5" sqref="A5"/>
      <selection pane="bottomRight" activeCell="E24" sqref="E24"/>
    </sheetView>
  </sheetViews>
  <sheetFormatPr baseColWidth="10" defaultRowHeight="18.75"/>
  <cols>
    <col min="1" max="1" width="9.7109375" style="78" customWidth="1"/>
    <col min="2" max="2" width="53.140625" style="78" customWidth="1"/>
    <col min="3" max="3" width="12.7109375" style="78" hidden="1" customWidth="1"/>
    <col min="4" max="4" width="13.140625" style="78" customWidth="1"/>
    <col min="5" max="5" width="12.7109375" style="78" customWidth="1"/>
    <col min="6" max="6" width="13.28515625" style="97" hidden="1" customWidth="1"/>
    <col min="7" max="7" width="13.7109375" style="97" customWidth="1"/>
    <col min="8" max="9" width="12.7109375" style="97" customWidth="1"/>
    <col min="10" max="10" width="12.7109375" style="78" customWidth="1"/>
    <col min="11" max="256" width="11.42578125" style="78"/>
    <col min="257" max="257" width="9.7109375" style="78" customWidth="1"/>
    <col min="258" max="258" width="53.140625" style="78" customWidth="1"/>
    <col min="259" max="259" width="0" style="78" hidden="1" customWidth="1"/>
    <col min="260" max="261" width="12.7109375" style="78" customWidth="1"/>
    <col min="262" max="262" width="0" style="78" hidden="1" customWidth="1"/>
    <col min="263" max="266" width="12.7109375" style="78" customWidth="1"/>
    <col min="267" max="512" width="11.42578125" style="78"/>
    <col min="513" max="513" width="9.7109375" style="78" customWidth="1"/>
    <col min="514" max="514" width="53.140625" style="78" customWidth="1"/>
    <col min="515" max="515" width="0" style="78" hidden="1" customWidth="1"/>
    <col min="516" max="517" width="12.7109375" style="78" customWidth="1"/>
    <col min="518" max="518" width="0" style="78" hidden="1" customWidth="1"/>
    <col min="519" max="522" width="12.7109375" style="78" customWidth="1"/>
    <col min="523" max="768" width="11.42578125" style="78"/>
    <col min="769" max="769" width="9.7109375" style="78" customWidth="1"/>
    <col min="770" max="770" width="53.140625" style="78" customWidth="1"/>
    <col min="771" max="771" width="0" style="78" hidden="1" customWidth="1"/>
    <col min="772" max="773" width="12.7109375" style="78" customWidth="1"/>
    <col min="774" max="774" width="0" style="78" hidden="1" customWidth="1"/>
    <col min="775" max="778" width="12.7109375" style="78" customWidth="1"/>
    <col min="779" max="1024" width="11.42578125" style="78"/>
    <col min="1025" max="1025" width="9.7109375" style="78" customWidth="1"/>
    <col min="1026" max="1026" width="53.140625" style="78" customWidth="1"/>
    <col min="1027" max="1027" width="0" style="78" hidden="1" customWidth="1"/>
    <col min="1028" max="1029" width="12.7109375" style="78" customWidth="1"/>
    <col min="1030" max="1030" width="0" style="78" hidden="1" customWidth="1"/>
    <col min="1031" max="1034" width="12.7109375" style="78" customWidth="1"/>
    <col min="1035" max="1280" width="11.42578125" style="78"/>
    <col min="1281" max="1281" width="9.7109375" style="78" customWidth="1"/>
    <col min="1282" max="1282" width="53.140625" style="78" customWidth="1"/>
    <col min="1283" max="1283" width="0" style="78" hidden="1" customWidth="1"/>
    <col min="1284" max="1285" width="12.7109375" style="78" customWidth="1"/>
    <col min="1286" max="1286" width="0" style="78" hidden="1" customWidth="1"/>
    <col min="1287" max="1290" width="12.7109375" style="78" customWidth="1"/>
    <col min="1291" max="1536" width="11.42578125" style="78"/>
    <col min="1537" max="1537" width="9.7109375" style="78" customWidth="1"/>
    <col min="1538" max="1538" width="53.140625" style="78" customWidth="1"/>
    <col min="1539" max="1539" width="0" style="78" hidden="1" customWidth="1"/>
    <col min="1540" max="1541" width="12.7109375" style="78" customWidth="1"/>
    <col min="1542" max="1542" width="0" style="78" hidden="1" customWidth="1"/>
    <col min="1543" max="1546" width="12.7109375" style="78" customWidth="1"/>
    <col min="1547" max="1792" width="11.42578125" style="78"/>
    <col min="1793" max="1793" width="9.7109375" style="78" customWidth="1"/>
    <col min="1794" max="1794" width="53.140625" style="78" customWidth="1"/>
    <col min="1795" max="1795" width="0" style="78" hidden="1" customWidth="1"/>
    <col min="1796" max="1797" width="12.7109375" style="78" customWidth="1"/>
    <col min="1798" max="1798" width="0" style="78" hidden="1" customWidth="1"/>
    <col min="1799" max="1802" width="12.7109375" style="78" customWidth="1"/>
    <col min="1803" max="2048" width="11.42578125" style="78"/>
    <col min="2049" max="2049" width="9.7109375" style="78" customWidth="1"/>
    <col min="2050" max="2050" width="53.140625" style="78" customWidth="1"/>
    <col min="2051" max="2051" width="0" style="78" hidden="1" customWidth="1"/>
    <col min="2052" max="2053" width="12.7109375" style="78" customWidth="1"/>
    <col min="2054" max="2054" width="0" style="78" hidden="1" customWidth="1"/>
    <col min="2055" max="2058" width="12.7109375" style="78" customWidth="1"/>
    <col min="2059" max="2304" width="11.42578125" style="78"/>
    <col min="2305" max="2305" width="9.7109375" style="78" customWidth="1"/>
    <col min="2306" max="2306" width="53.140625" style="78" customWidth="1"/>
    <col min="2307" max="2307" width="0" style="78" hidden="1" customWidth="1"/>
    <col min="2308" max="2309" width="12.7109375" style="78" customWidth="1"/>
    <col min="2310" max="2310" width="0" style="78" hidden="1" customWidth="1"/>
    <col min="2311" max="2314" width="12.7109375" style="78" customWidth="1"/>
    <col min="2315" max="2560" width="11.42578125" style="78"/>
    <col min="2561" max="2561" width="9.7109375" style="78" customWidth="1"/>
    <col min="2562" max="2562" width="53.140625" style="78" customWidth="1"/>
    <col min="2563" max="2563" width="0" style="78" hidden="1" customWidth="1"/>
    <col min="2564" max="2565" width="12.7109375" style="78" customWidth="1"/>
    <col min="2566" max="2566" width="0" style="78" hidden="1" customWidth="1"/>
    <col min="2567" max="2570" width="12.7109375" style="78" customWidth="1"/>
    <col min="2571" max="2816" width="11.42578125" style="78"/>
    <col min="2817" max="2817" width="9.7109375" style="78" customWidth="1"/>
    <col min="2818" max="2818" width="53.140625" style="78" customWidth="1"/>
    <col min="2819" max="2819" width="0" style="78" hidden="1" customWidth="1"/>
    <col min="2820" max="2821" width="12.7109375" style="78" customWidth="1"/>
    <col min="2822" max="2822" width="0" style="78" hidden="1" customWidth="1"/>
    <col min="2823" max="2826" width="12.7109375" style="78" customWidth="1"/>
    <col min="2827" max="3072" width="11.42578125" style="78"/>
    <col min="3073" max="3073" width="9.7109375" style="78" customWidth="1"/>
    <col min="3074" max="3074" width="53.140625" style="78" customWidth="1"/>
    <col min="3075" max="3075" width="0" style="78" hidden="1" customWidth="1"/>
    <col min="3076" max="3077" width="12.7109375" style="78" customWidth="1"/>
    <col min="3078" max="3078" width="0" style="78" hidden="1" customWidth="1"/>
    <col min="3079" max="3082" width="12.7109375" style="78" customWidth="1"/>
    <col min="3083" max="3328" width="11.42578125" style="78"/>
    <col min="3329" max="3329" width="9.7109375" style="78" customWidth="1"/>
    <col min="3330" max="3330" width="53.140625" style="78" customWidth="1"/>
    <col min="3331" max="3331" width="0" style="78" hidden="1" customWidth="1"/>
    <col min="3332" max="3333" width="12.7109375" style="78" customWidth="1"/>
    <col min="3334" max="3334" width="0" style="78" hidden="1" customWidth="1"/>
    <col min="3335" max="3338" width="12.7109375" style="78" customWidth="1"/>
    <col min="3339" max="3584" width="11.42578125" style="78"/>
    <col min="3585" max="3585" width="9.7109375" style="78" customWidth="1"/>
    <col min="3586" max="3586" width="53.140625" style="78" customWidth="1"/>
    <col min="3587" max="3587" width="0" style="78" hidden="1" customWidth="1"/>
    <col min="3588" max="3589" width="12.7109375" style="78" customWidth="1"/>
    <col min="3590" max="3590" width="0" style="78" hidden="1" customWidth="1"/>
    <col min="3591" max="3594" width="12.7109375" style="78" customWidth="1"/>
    <col min="3595" max="3840" width="11.42578125" style="78"/>
    <col min="3841" max="3841" width="9.7109375" style="78" customWidth="1"/>
    <col min="3842" max="3842" width="53.140625" style="78" customWidth="1"/>
    <col min="3843" max="3843" width="0" style="78" hidden="1" customWidth="1"/>
    <col min="3844" max="3845" width="12.7109375" style="78" customWidth="1"/>
    <col min="3846" max="3846" width="0" style="78" hidden="1" customWidth="1"/>
    <col min="3847" max="3850" width="12.7109375" style="78" customWidth="1"/>
    <col min="3851" max="4096" width="11.42578125" style="78"/>
    <col min="4097" max="4097" width="9.7109375" style="78" customWidth="1"/>
    <col min="4098" max="4098" width="53.140625" style="78" customWidth="1"/>
    <col min="4099" max="4099" width="0" style="78" hidden="1" customWidth="1"/>
    <col min="4100" max="4101" width="12.7109375" style="78" customWidth="1"/>
    <col min="4102" max="4102" width="0" style="78" hidden="1" customWidth="1"/>
    <col min="4103" max="4106" width="12.7109375" style="78" customWidth="1"/>
    <col min="4107" max="4352" width="11.42578125" style="78"/>
    <col min="4353" max="4353" width="9.7109375" style="78" customWidth="1"/>
    <col min="4354" max="4354" width="53.140625" style="78" customWidth="1"/>
    <col min="4355" max="4355" width="0" style="78" hidden="1" customWidth="1"/>
    <col min="4356" max="4357" width="12.7109375" style="78" customWidth="1"/>
    <col min="4358" max="4358" width="0" style="78" hidden="1" customWidth="1"/>
    <col min="4359" max="4362" width="12.7109375" style="78" customWidth="1"/>
    <col min="4363" max="4608" width="11.42578125" style="78"/>
    <col min="4609" max="4609" width="9.7109375" style="78" customWidth="1"/>
    <col min="4610" max="4610" width="53.140625" style="78" customWidth="1"/>
    <col min="4611" max="4611" width="0" style="78" hidden="1" customWidth="1"/>
    <col min="4612" max="4613" width="12.7109375" style="78" customWidth="1"/>
    <col min="4614" max="4614" width="0" style="78" hidden="1" customWidth="1"/>
    <col min="4615" max="4618" width="12.7109375" style="78" customWidth="1"/>
    <col min="4619" max="4864" width="11.42578125" style="78"/>
    <col min="4865" max="4865" width="9.7109375" style="78" customWidth="1"/>
    <col min="4866" max="4866" width="53.140625" style="78" customWidth="1"/>
    <col min="4867" max="4867" width="0" style="78" hidden="1" customWidth="1"/>
    <col min="4868" max="4869" width="12.7109375" style="78" customWidth="1"/>
    <col min="4870" max="4870" width="0" style="78" hidden="1" customWidth="1"/>
    <col min="4871" max="4874" width="12.7109375" style="78" customWidth="1"/>
    <col min="4875" max="5120" width="11.42578125" style="78"/>
    <col min="5121" max="5121" width="9.7109375" style="78" customWidth="1"/>
    <col min="5122" max="5122" width="53.140625" style="78" customWidth="1"/>
    <col min="5123" max="5123" width="0" style="78" hidden="1" customWidth="1"/>
    <col min="5124" max="5125" width="12.7109375" style="78" customWidth="1"/>
    <col min="5126" max="5126" width="0" style="78" hidden="1" customWidth="1"/>
    <col min="5127" max="5130" width="12.7109375" style="78" customWidth="1"/>
    <col min="5131" max="5376" width="11.42578125" style="78"/>
    <col min="5377" max="5377" width="9.7109375" style="78" customWidth="1"/>
    <col min="5378" max="5378" width="53.140625" style="78" customWidth="1"/>
    <col min="5379" max="5379" width="0" style="78" hidden="1" customWidth="1"/>
    <col min="5380" max="5381" width="12.7109375" style="78" customWidth="1"/>
    <col min="5382" max="5382" width="0" style="78" hidden="1" customWidth="1"/>
    <col min="5383" max="5386" width="12.7109375" style="78" customWidth="1"/>
    <col min="5387" max="5632" width="11.42578125" style="78"/>
    <col min="5633" max="5633" width="9.7109375" style="78" customWidth="1"/>
    <col min="5634" max="5634" width="53.140625" style="78" customWidth="1"/>
    <col min="5635" max="5635" width="0" style="78" hidden="1" customWidth="1"/>
    <col min="5636" max="5637" width="12.7109375" style="78" customWidth="1"/>
    <col min="5638" max="5638" width="0" style="78" hidden="1" customWidth="1"/>
    <col min="5639" max="5642" width="12.7109375" style="78" customWidth="1"/>
    <col min="5643" max="5888" width="11.42578125" style="78"/>
    <col min="5889" max="5889" width="9.7109375" style="78" customWidth="1"/>
    <col min="5890" max="5890" width="53.140625" style="78" customWidth="1"/>
    <col min="5891" max="5891" width="0" style="78" hidden="1" customWidth="1"/>
    <col min="5892" max="5893" width="12.7109375" style="78" customWidth="1"/>
    <col min="5894" max="5894" width="0" style="78" hidden="1" customWidth="1"/>
    <col min="5895" max="5898" width="12.7109375" style="78" customWidth="1"/>
    <col min="5899" max="6144" width="11.42578125" style="78"/>
    <col min="6145" max="6145" width="9.7109375" style="78" customWidth="1"/>
    <col min="6146" max="6146" width="53.140625" style="78" customWidth="1"/>
    <col min="6147" max="6147" width="0" style="78" hidden="1" customWidth="1"/>
    <col min="6148" max="6149" width="12.7109375" style="78" customWidth="1"/>
    <col min="6150" max="6150" width="0" style="78" hidden="1" customWidth="1"/>
    <col min="6151" max="6154" width="12.7109375" style="78" customWidth="1"/>
    <col min="6155" max="6400" width="11.42578125" style="78"/>
    <col min="6401" max="6401" width="9.7109375" style="78" customWidth="1"/>
    <col min="6402" max="6402" width="53.140625" style="78" customWidth="1"/>
    <col min="6403" max="6403" width="0" style="78" hidden="1" customWidth="1"/>
    <col min="6404" max="6405" width="12.7109375" style="78" customWidth="1"/>
    <col min="6406" max="6406" width="0" style="78" hidden="1" customWidth="1"/>
    <col min="6407" max="6410" width="12.7109375" style="78" customWidth="1"/>
    <col min="6411" max="6656" width="11.42578125" style="78"/>
    <col min="6657" max="6657" width="9.7109375" style="78" customWidth="1"/>
    <col min="6658" max="6658" width="53.140625" style="78" customWidth="1"/>
    <col min="6659" max="6659" width="0" style="78" hidden="1" customWidth="1"/>
    <col min="6660" max="6661" width="12.7109375" style="78" customWidth="1"/>
    <col min="6662" max="6662" width="0" style="78" hidden="1" customWidth="1"/>
    <col min="6663" max="6666" width="12.7109375" style="78" customWidth="1"/>
    <col min="6667" max="6912" width="11.42578125" style="78"/>
    <col min="6913" max="6913" width="9.7109375" style="78" customWidth="1"/>
    <col min="6914" max="6914" width="53.140625" style="78" customWidth="1"/>
    <col min="6915" max="6915" width="0" style="78" hidden="1" customWidth="1"/>
    <col min="6916" max="6917" width="12.7109375" style="78" customWidth="1"/>
    <col min="6918" max="6918" width="0" style="78" hidden="1" customWidth="1"/>
    <col min="6919" max="6922" width="12.7109375" style="78" customWidth="1"/>
    <col min="6923" max="7168" width="11.42578125" style="78"/>
    <col min="7169" max="7169" width="9.7109375" style="78" customWidth="1"/>
    <col min="7170" max="7170" width="53.140625" style="78" customWidth="1"/>
    <col min="7171" max="7171" width="0" style="78" hidden="1" customWidth="1"/>
    <col min="7172" max="7173" width="12.7109375" style="78" customWidth="1"/>
    <col min="7174" max="7174" width="0" style="78" hidden="1" customWidth="1"/>
    <col min="7175" max="7178" width="12.7109375" style="78" customWidth="1"/>
    <col min="7179" max="7424" width="11.42578125" style="78"/>
    <col min="7425" max="7425" width="9.7109375" style="78" customWidth="1"/>
    <col min="7426" max="7426" width="53.140625" style="78" customWidth="1"/>
    <col min="7427" max="7427" width="0" style="78" hidden="1" customWidth="1"/>
    <col min="7428" max="7429" width="12.7109375" style="78" customWidth="1"/>
    <col min="7430" max="7430" width="0" style="78" hidden="1" customWidth="1"/>
    <col min="7431" max="7434" width="12.7109375" style="78" customWidth="1"/>
    <col min="7435" max="7680" width="11.42578125" style="78"/>
    <col min="7681" max="7681" width="9.7109375" style="78" customWidth="1"/>
    <col min="7682" max="7682" width="53.140625" style="78" customWidth="1"/>
    <col min="7683" max="7683" width="0" style="78" hidden="1" customWidth="1"/>
    <col min="7684" max="7685" width="12.7109375" style="78" customWidth="1"/>
    <col min="7686" max="7686" width="0" style="78" hidden="1" customWidth="1"/>
    <col min="7687" max="7690" width="12.7109375" style="78" customWidth="1"/>
    <col min="7691" max="7936" width="11.42578125" style="78"/>
    <col min="7937" max="7937" width="9.7109375" style="78" customWidth="1"/>
    <col min="7938" max="7938" width="53.140625" style="78" customWidth="1"/>
    <col min="7939" max="7939" width="0" style="78" hidden="1" customWidth="1"/>
    <col min="7940" max="7941" width="12.7109375" style="78" customWidth="1"/>
    <col min="7942" max="7942" width="0" style="78" hidden="1" customWidth="1"/>
    <col min="7943" max="7946" width="12.7109375" style="78" customWidth="1"/>
    <col min="7947" max="8192" width="11.42578125" style="78"/>
    <col min="8193" max="8193" width="9.7109375" style="78" customWidth="1"/>
    <col min="8194" max="8194" width="53.140625" style="78" customWidth="1"/>
    <col min="8195" max="8195" width="0" style="78" hidden="1" customWidth="1"/>
    <col min="8196" max="8197" width="12.7109375" style="78" customWidth="1"/>
    <col min="8198" max="8198" width="0" style="78" hidden="1" customWidth="1"/>
    <col min="8199" max="8202" width="12.7109375" style="78" customWidth="1"/>
    <col min="8203" max="8448" width="11.42578125" style="78"/>
    <col min="8449" max="8449" width="9.7109375" style="78" customWidth="1"/>
    <col min="8450" max="8450" width="53.140625" style="78" customWidth="1"/>
    <col min="8451" max="8451" width="0" style="78" hidden="1" customWidth="1"/>
    <col min="8452" max="8453" width="12.7109375" style="78" customWidth="1"/>
    <col min="8454" max="8454" width="0" style="78" hidden="1" customWidth="1"/>
    <col min="8455" max="8458" width="12.7109375" style="78" customWidth="1"/>
    <col min="8459" max="8704" width="11.42578125" style="78"/>
    <col min="8705" max="8705" width="9.7109375" style="78" customWidth="1"/>
    <col min="8706" max="8706" width="53.140625" style="78" customWidth="1"/>
    <col min="8707" max="8707" width="0" style="78" hidden="1" customWidth="1"/>
    <col min="8708" max="8709" width="12.7109375" style="78" customWidth="1"/>
    <col min="8710" max="8710" width="0" style="78" hidden="1" customWidth="1"/>
    <col min="8711" max="8714" width="12.7109375" style="78" customWidth="1"/>
    <col min="8715" max="8960" width="11.42578125" style="78"/>
    <col min="8961" max="8961" width="9.7109375" style="78" customWidth="1"/>
    <col min="8962" max="8962" width="53.140625" style="78" customWidth="1"/>
    <col min="8963" max="8963" width="0" style="78" hidden="1" customWidth="1"/>
    <col min="8964" max="8965" width="12.7109375" style="78" customWidth="1"/>
    <col min="8966" max="8966" width="0" style="78" hidden="1" customWidth="1"/>
    <col min="8967" max="8970" width="12.7109375" style="78" customWidth="1"/>
    <col min="8971" max="9216" width="11.42578125" style="78"/>
    <col min="9217" max="9217" width="9.7109375" style="78" customWidth="1"/>
    <col min="9218" max="9218" width="53.140625" style="78" customWidth="1"/>
    <col min="9219" max="9219" width="0" style="78" hidden="1" customWidth="1"/>
    <col min="9220" max="9221" width="12.7109375" style="78" customWidth="1"/>
    <col min="9222" max="9222" width="0" style="78" hidden="1" customWidth="1"/>
    <col min="9223" max="9226" width="12.7109375" style="78" customWidth="1"/>
    <col min="9227" max="9472" width="11.42578125" style="78"/>
    <col min="9473" max="9473" width="9.7109375" style="78" customWidth="1"/>
    <col min="9474" max="9474" width="53.140625" style="78" customWidth="1"/>
    <col min="9475" max="9475" width="0" style="78" hidden="1" customWidth="1"/>
    <col min="9476" max="9477" width="12.7109375" style="78" customWidth="1"/>
    <col min="9478" max="9478" width="0" style="78" hidden="1" customWidth="1"/>
    <col min="9479" max="9482" width="12.7109375" style="78" customWidth="1"/>
    <col min="9483" max="9728" width="11.42578125" style="78"/>
    <col min="9729" max="9729" width="9.7109375" style="78" customWidth="1"/>
    <col min="9730" max="9730" width="53.140625" style="78" customWidth="1"/>
    <col min="9731" max="9731" width="0" style="78" hidden="1" customWidth="1"/>
    <col min="9732" max="9733" width="12.7109375" style="78" customWidth="1"/>
    <col min="9734" max="9734" width="0" style="78" hidden="1" customWidth="1"/>
    <col min="9735" max="9738" width="12.7109375" style="78" customWidth="1"/>
    <col min="9739" max="9984" width="11.42578125" style="78"/>
    <col min="9985" max="9985" width="9.7109375" style="78" customWidth="1"/>
    <col min="9986" max="9986" width="53.140625" style="78" customWidth="1"/>
    <col min="9987" max="9987" width="0" style="78" hidden="1" customWidth="1"/>
    <col min="9988" max="9989" width="12.7109375" style="78" customWidth="1"/>
    <col min="9990" max="9990" width="0" style="78" hidden="1" customWidth="1"/>
    <col min="9991" max="9994" width="12.7109375" style="78" customWidth="1"/>
    <col min="9995" max="10240" width="11.42578125" style="78"/>
    <col min="10241" max="10241" width="9.7109375" style="78" customWidth="1"/>
    <col min="10242" max="10242" width="53.140625" style="78" customWidth="1"/>
    <col min="10243" max="10243" width="0" style="78" hidden="1" customWidth="1"/>
    <col min="10244" max="10245" width="12.7109375" style="78" customWidth="1"/>
    <col min="10246" max="10246" width="0" style="78" hidden="1" customWidth="1"/>
    <col min="10247" max="10250" width="12.7109375" style="78" customWidth="1"/>
    <col min="10251" max="10496" width="11.42578125" style="78"/>
    <col min="10497" max="10497" width="9.7109375" style="78" customWidth="1"/>
    <col min="10498" max="10498" width="53.140625" style="78" customWidth="1"/>
    <col min="10499" max="10499" width="0" style="78" hidden="1" customWidth="1"/>
    <col min="10500" max="10501" width="12.7109375" style="78" customWidth="1"/>
    <col min="10502" max="10502" width="0" style="78" hidden="1" customWidth="1"/>
    <col min="10503" max="10506" width="12.7109375" style="78" customWidth="1"/>
    <col min="10507" max="10752" width="11.42578125" style="78"/>
    <col min="10753" max="10753" width="9.7109375" style="78" customWidth="1"/>
    <col min="10754" max="10754" width="53.140625" style="78" customWidth="1"/>
    <col min="10755" max="10755" width="0" style="78" hidden="1" customWidth="1"/>
    <col min="10756" max="10757" width="12.7109375" style="78" customWidth="1"/>
    <col min="10758" max="10758" width="0" style="78" hidden="1" customWidth="1"/>
    <col min="10759" max="10762" width="12.7109375" style="78" customWidth="1"/>
    <col min="10763" max="11008" width="11.42578125" style="78"/>
    <col min="11009" max="11009" width="9.7109375" style="78" customWidth="1"/>
    <col min="11010" max="11010" width="53.140625" style="78" customWidth="1"/>
    <col min="11011" max="11011" width="0" style="78" hidden="1" customWidth="1"/>
    <col min="11012" max="11013" width="12.7109375" style="78" customWidth="1"/>
    <col min="11014" max="11014" width="0" style="78" hidden="1" customWidth="1"/>
    <col min="11015" max="11018" width="12.7109375" style="78" customWidth="1"/>
    <col min="11019" max="11264" width="11.42578125" style="78"/>
    <col min="11265" max="11265" width="9.7109375" style="78" customWidth="1"/>
    <col min="11266" max="11266" width="53.140625" style="78" customWidth="1"/>
    <col min="11267" max="11267" width="0" style="78" hidden="1" customWidth="1"/>
    <col min="11268" max="11269" width="12.7109375" style="78" customWidth="1"/>
    <col min="11270" max="11270" width="0" style="78" hidden="1" customWidth="1"/>
    <col min="11271" max="11274" width="12.7109375" style="78" customWidth="1"/>
    <col min="11275" max="11520" width="11.42578125" style="78"/>
    <col min="11521" max="11521" width="9.7109375" style="78" customWidth="1"/>
    <col min="11522" max="11522" width="53.140625" style="78" customWidth="1"/>
    <col min="11523" max="11523" width="0" style="78" hidden="1" customWidth="1"/>
    <col min="11524" max="11525" width="12.7109375" style="78" customWidth="1"/>
    <col min="11526" max="11526" width="0" style="78" hidden="1" customWidth="1"/>
    <col min="11527" max="11530" width="12.7109375" style="78" customWidth="1"/>
    <col min="11531" max="11776" width="11.42578125" style="78"/>
    <col min="11777" max="11777" width="9.7109375" style="78" customWidth="1"/>
    <col min="11778" max="11778" width="53.140625" style="78" customWidth="1"/>
    <col min="11779" max="11779" width="0" style="78" hidden="1" customWidth="1"/>
    <col min="11780" max="11781" width="12.7109375" style="78" customWidth="1"/>
    <col min="11782" max="11782" width="0" style="78" hidden="1" customWidth="1"/>
    <col min="11783" max="11786" width="12.7109375" style="78" customWidth="1"/>
    <col min="11787" max="12032" width="11.42578125" style="78"/>
    <col min="12033" max="12033" width="9.7109375" style="78" customWidth="1"/>
    <col min="12034" max="12034" width="53.140625" style="78" customWidth="1"/>
    <col min="12035" max="12035" width="0" style="78" hidden="1" customWidth="1"/>
    <col min="12036" max="12037" width="12.7109375" style="78" customWidth="1"/>
    <col min="12038" max="12038" width="0" style="78" hidden="1" customWidth="1"/>
    <col min="12039" max="12042" width="12.7109375" style="78" customWidth="1"/>
    <col min="12043" max="12288" width="11.42578125" style="78"/>
    <col min="12289" max="12289" width="9.7109375" style="78" customWidth="1"/>
    <col min="12290" max="12290" width="53.140625" style="78" customWidth="1"/>
    <col min="12291" max="12291" width="0" style="78" hidden="1" customWidth="1"/>
    <col min="12292" max="12293" width="12.7109375" style="78" customWidth="1"/>
    <col min="12294" max="12294" width="0" style="78" hidden="1" customWidth="1"/>
    <col min="12295" max="12298" width="12.7109375" style="78" customWidth="1"/>
    <col min="12299" max="12544" width="11.42578125" style="78"/>
    <col min="12545" max="12545" width="9.7109375" style="78" customWidth="1"/>
    <col min="12546" max="12546" width="53.140625" style="78" customWidth="1"/>
    <col min="12547" max="12547" width="0" style="78" hidden="1" customWidth="1"/>
    <col min="12548" max="12549" width="12.7109375" style="78" customWidth="1"/>
    <col min="12550" max="12550" width="0" style="78" hidden="1" customWidth="1"/>
    <col min="12551" max="12554" width="12.7109375" style="78" customWidth="1"/>
    <col min="12555" max="12800" width="11.42578125" style="78"/>
    <col min="12801" max="12801" width="9.7109375" style="78" customWidth="1"/>
    <col min="12802" max="12802" width="53.140625" style="78" customWidth="1"/>
    <col min="12803" max="12803" width="0" style="78" hidden="1" customWidth="1"/>
    <col min="12804" max="12805" width="12.7109375" style="78" customWidth="1"/>
    <col min="12806" max="12806" width="0" style="78" hidden="1" customWidth="1"/>
    <col min="12807" max="12810" width="12.7109375" style="78" customWidth="1"/>
    <col min="12811" max="13056" width="11.42578125" style="78"/>
    <col min="13057" max="13057" width="9.7109375" style="78" customWidth="1"/>
    <col min="13058" max="13058" width="53.140625" style="78" customWidth="1"/>
    <col min="13059" max="13059" width="0" style="78" hidden="1" customWidth="1"/>
    <col min="13060" max="13061" width="12.7109375" style="78" customWidth="1"/>
    <col min="13062" max="13062" width="0" style="78" hidden="1" customWidth="1"/>
    <col min="13063" max="13066" width="12.7109375" style="78" customWidth="1"/>
    <col min="13067" max="13312" width="11.42578125" style="78"/>
    <col min="13313" max="13313" width="9.7109375" style="78" customWidth="1"/>
    <col min="13314" max="13314" width="53.140625" style="78" customWidth="1"/>
    <col min="13315" max="13315" width="0" style="78" hidden="1" customWidth="1"/>
    <col min="13316" max="13317" width="12.7109375" style="78" customWidth="1"/>
    <col min="13318" max="13318" width="0" style="78" hidden="1" customWidth="1"/>
    <col min="13319" max="13322" width="12.7109375" style="78" customWidth="1"/>
    <col min="13323" max="13568" width="11.42578125" style="78"/>
    <col min="13569" max="13569" width="9.7109375" style="78" customWidth="1"/>
    <col min="13570" max="13570" width="53.140625" style="78" customWidth="1"/>
    <col min="13571" max="13571" width="0" style="78" hidden="1" customWidth="1"/>
    <col min="13572" max="13573" width="12.7109375" style="78" customWidth="1"/>
    <col min="13574" max="13574" width="0" style="78" hidden="1" customWidth="1"/>
    <col min="13575" max="13578" width="12.7109375" style="78" customWidth="1"/>
    <col min="13579" max="13824" width="11.42578125" style="78"/>
    <col min="13825" max="13825" width="9.7109375" style="78" customWidth="1"/>
    <col min="13826" max="13826" width="53.140625" style="78" customWidth="1"/>
    <col min="13827" max="13827" width="0" style="78" hidden="1" customWidth="1"/>
    <col min="13828" max="13829" width="12.7109375" style="78" customWidth="1"/>
    <col min="13830" max="13830" width="0" style="78" hidden="1" customWidth="1"/>
    <col min="13831" max="13834" width="12.7109375" style="78" customWidth="1"/>
    <col min="13835" max="14080" width="11.42578125" style="78"/>
    <col min="14081" max="14081" width="9.7109375" style="78" customWidth="1"/>
    <col min="14082" max="14082" width="53.140625" style="78" customWidth="1"/>
    <col min="14083" max="14083" width="0" style="78" hidden="1" customWidth="1"/>
    <col min="14084" max="14085" width="12.7109375" style="78" customWidth="1"/>
    <col min="14086" max="14086" width="0" style="78" hidden="1" customWidth="1"/>
    <col min="14087" max="14090" width="12.7109375" style="78" customWidth="1"/>
    <col min="14091" max="14336" width="11.42578125" style="78"/>
    <col min="14337" max="14337" width="9.7109375" style="78" customWidth="1"/>
    <col min="14338" max="14338" width="53.140625" style="78" customWidth="1"/>
    <col min="14339" max="14339" width="0" style="78" hidden="1" customWidth="1"/>
    <col min="14340" max="14341" width="12.7109375" style="78" customWidth="1"/>
    <col min="14342" max="14342" width="0" style="78" hidden="1" customWidth="1"/>
    <col min="14343" max="14346" width="12.7109375" style="78" customWidth="1"/>
    <col min="14347" max="14592" width="11.42578125" style="78"/>
    <col min="14593" max="14593" width="9.7109375" style="78" customWidth="1"/>
    <col min="14594" max="14594" width="53.140625" style="78" customWidth="1"/>
    <col min="14595" max="14595" width="0" style="78" hidden="1" customWidth="1"/>
    <col min="14596" max="14597" width="12.7109375" style="78" customWidth="1"/>
    <col min="14598" max="14598" width="0" style="78" hidden="1" customWidth="1"/>
    <col min="14599" max="14602" width="12.7109375" style="78" customWidth="1"/>
    <col min="14603" max="14848" width="11.42578125" style="78"/>
    <col min="14849" max="14849" width="9.7109375" style="78" customWidth="1"/>
    <col min="14850" max="14850" width="53.140625" style="78" customWidth="1"/>
    <col min="14851" max="14851" width="0" style="78" hidden="1" customWidth="1"/>
    <col min="14852" max="14853" width="12.7109375" style="78" customWidth="1"/>
    <col min="14854" max="14854" width="0" style="78" hidden="1" customWidth="1"/>
    <col min="14855" max="14858" width="12.7109375" style="78" customWidth="1"/>
    <col min="14859" max="15104" width="11.42578125" style="78"/>
    <col min="15105" max="15105" width="9.7109375" style="78" customWidth="1"/>
    <col min="15106" max="15106" width="53.140625" style="78" customWidth="1"/>
    <col min="15107" max="15107" width="0" style="78" hidden="1" customWidth="1"/>
    <col min="15108" max="15109" width="12.7109375" style="78" customWidth="1"/>
    <col min="15110" max="15110" width="0" style="78" hidden="1" customWidth="1"/>
    <col min="15111" max="15114" width="12.7109375" style="78" customWidth="1"/>
    <col min="15115" max="15360" width="11.42578125" style="78"/>
    <col min="15361" max="15361" width="9.7109375" style="78" customWidth="1"/>
    <col min="15362" max="15362" width="53.140625" style="78" customWidth="1"/>
    <col min="15363" max="15363" width="0" style="78" hidden="1" customWidth="1"/>
    <col min="15364" max="15365" width="12.7109375" style="78" customWidth="1"/>
    <col min="15366" max="15366" width="0" style="78" hidden="1" customWidth="1"/>
    <col min="15367" max="15370" width="12.7109375" style="78" customWidth="1"/>
    <col min="15371" max="15616" width="11.42578125" style="78"/>
    <col min="15617" max="15617" width="9.7109375" style="78" customWidth="1"/>
    <col min="15618" max="15618" width="53.140625" style="78" customWidth="1"/>
    <col min="15619" max="15619" width="0" style="78" hidden="1" customWidth="1"/>
    <col min="15620" max="15621" width="12.7109375" style="78" customWidth="1"/>
    <col min="15622" max="15622" width="0" style="78" hidden="1" customWidth="1"/>
    <col min="15623" max="15626" width="12.7109375" style="78" customWidth="1"/>
    <col min="15627" max="15872" width="11.42578125" style="78"/>
    <col min="15873" max="15873" width="9.7109375" style="78" customWidth="1"/>
    <col min="15874" max="15874" width="53.140625" style="78" customWidth="1"/>
    <col min="15875" max="15875" width="0" style="78" hidden="1" customWidth="1"/>
    <col min="15876" max="15877" width="12.7109375" style="78" customWidth="1"/>
    <col min="15878" max="15878" width="0" style="78" hidden="1" customWidth="1"/>
    <col min="15879" max="15882" width="12.7109375" style="78" customWidth="1"/>
    <col min="15883" max="16128" width="11.42578125" style="78"/>
    <col min="16129" max="16129" width="9.7109375" style="78" customWidth="1"/>
    <col min="16130" max="16130" width="53.140625" style="78" customWidth="1"/>
    <col min="16131" max="16131" width="0" style="78" hidden="1" customWidth="1"/>
    <col min="16132" max="16133" width="12.7109375" style="78" customWidth="1"/>
    <col min="16134" max="16134" width="0" style="78" hidden="1" customWidth="1"/>
    <col min="16135" max="16138" width="12.7109375" style="78" customWidth="1"/>
    <col min="16139" max="16384" width="11.42578125" style="78"/>
  </cols>
  <sheetData>
    <row r="1" spans="2:10" ht="20.25">
      <c r="B1" s="96" t="s">
        <v>823</v>
      </c>
    </row>
    <row r="2" spans="2:10" ht="19.5" thickBot="1">
      <c r="B2" s="79" t="s">
        <v>132</v>
      </c>
    </row>
    <row r="3" spans="2:10" ht="27.95" customHeight="1">
      <c r="B3" s="783" t="s">
        <v>133</v>
      </c>
      <c r="C3" s="785">
        <v>2018</v>
      </c>
      <c r="D3" s="785"/>
      <c r="E3" s="785"/>
      <c r="F3" s="785">
        <v>2019</v>
      </c>
      <c r="G3" s="785"/>
      <c r="H3" s="785"/>
      <c r="I3" s="786" t="s">
        <v>693</v>
      </c>
      <c r="J3" s="788" t="s">
        <v>824</v>
      </c>
    </row>
    <row r="4" spans="2:10" ht="27.95" customHeight="1">
      <c r="B4" s="784"/>
      <c r="C4" s="98" t="s">
        <v>134</v>
      </c>
      <c r="D4" s="99" t="s">
        <v>843</v>
      </c>
      <c r="E4" s="99" t="s">
        <v>130</v>
      </c>
      <c r="F4" s="98" t="s">
        <v>844</v>
      </c>
      <c r="G4" s="99" t="s">
        <v>843</v>
      </c>
      <c r="H4" s="99" t="s">
        <v>130</v>
      </c>
      <c r="I4" s="787"/>
      <c r="J4" s="789"/>
    </row>
    <row r="5" spans="2:10" ht="24" customHeight="1">
      <c r="B5" s="82" t="s">
        <v>135</v>
      </c>
      <c r="C5" s="100">
        <f t="shared" ref="C5:H5" si="0">+C6+C7+C8+C9</f>
        <v>0</v>
      </c>
      <c r="D5" s="100">
        <f t="shared" si="0"/>
        <v>4226.17</v>
      </c>
      <c r="E5" s="100">
        <f t="shared" si="0"/>
        <v>2076.73</v>
      </c>
      <c r="F5" s="100">
        <f t="shared" si="0"/>
        <v>4496.2999999999993</v>
      </c>
      <c r="G5" s="100">
        <f t="shared" si="0"/>
        <v>4563.6000000000004</v>
      </c>
      <c r="H5" s="100">
        <f t="shared" si="0"/>
        <v>2260.0999999999995</v>
      </c>
      <c r="I5" s="100">
        <f>E5/D5*100</f>
        <v>49.139764846184605</v>
      </c>
      <c r="J5" s="101">
        <f>H5/G5*100</f>
        <v>49.524498203172918</v>
      </c>
    </row>
    <row r="6" spans="2:10" ht="18" customHeight="1">
      <c r="B6" s="102" t="s">
        <v>136</v>
      </c>
      <c r="C6" s="103"/>
      <c r="D6" s="103">
        <v>1845.05</v>
      </c>
      <c r="E6" s="103">
        <v>874.23</v>
      </c>
      <c r="F6" s="103">
        <v>1901.2</v>
      </c>
      <c r="G6" s="103">
        <v>1929.4</v>
      </c>
      <c r="H6" s="103">
        <v>938.3</v>
      </c>
      <c r="I6" s="103">
        <f t="shared" ref="I6:I20" si="1">E6/D6*100</f>
        <v>47.382455760006501</v>
      </c>
      <c r="J6" s="104">
        <f t="shared" ref="J6:J20" si="2">H6/G6*100</f>
        <v>48.63169897377422</v>
      </c>
    </row>
    <row r="7" spans="2:10" ht="18" customHeight="1">
      <c r="B7" s="102" t="s">
        <v>137</v>
      </c>
      <c r="C7" s="103"/>
      <c r="D7" s="103">
        <v>457.78</v>
      </c>
      <c r="E7" s="103">
        <v>187.3</v>
      </c>
      <c r="F7" s="103">
        <v>402.8</v>
      </c>
      <c r="G7" s="103">
        <v>459</v>
      </c>
      <c r="H7" s="103">
        <v>187.6</v>
      </c>
      <c r="I7" s="103">
        <f t="shared" si="1"/>
        <v>40.914849927912975</v>
      </c>
      <c r="J7" s="104">
        <f t="shared" si="2"/>
        <v>40.871459694989106</v>
      </c>
    </row>
    <row r="8" spans="2:10" ht="18" customHeight="1">
      <c r="B8" s="102" t="s">
        <v>138</v>
      </c>
      <c r="C8" s="103"/>
      <c r="D8" s="103">
        <v>758.08</v>
      </c>
      <c r="E8" s="103">
        <v>374.26</v>
      </c>
      <c r="F8" s="103">
        <v>793.2</v>
      </c>
      <c r="G8" s="103">
        <v>784.8</v>
      </c>
      <c r="H8" s="103">
        <v>413.4</v>
      </c>
      <c r="I8" s="103">
        <f t="shared" si="1"/>
        <v>49.369459687631903</v>
      </c>
      <c r="J8" s="104">
        <f t="shared" si="2"/>
        <v>52.675840978593271</v>
      </c>
    </row>
    <row r="9" spans="2:10" ht="18" customHeight="1">
      <c r="B9" s="102" t="s">
        <v>139</v>
      </c>
      <c r="C9" s="103"/>
      <c r="D9" s="103">
        <v>1165.26</v>
      </c>
      <c r="E9" s="103">
        <v>640.94000000000005</v>
      </c>
      <c r="F9" s="103">
        <v>1399.1</v>
      </c>
      <c r="G9" s="103">
        <v>1390.4</v>
      </c>
      <c r="H9" s="103">
        <v>720.8</v>
      </c>
      <c r="I9" s="103">
        <f t="shared" si="1"/>
        <v>55.004033434598284</v>
      </c>
      <c r="J9" s="104">
        <f t="shared" si="2"/>
        <v>51.84119677790563</v>
      </c>
    </row>
    <row r="10" spans="2:10" ht="24" customHeight="1">
      <c r="B10" s="82" t="s">
        <v>140</v>
      </c>
      <c r="C10" s="105">
        <f>+C11+C13+C12</f>
        <v>0</v>
      </c>
      <c r="D10" s="105">
        <f>+D11+D13+D12+D14</f>
        <v>710.05000000000007</v>
      </c>
      <c r="E10" s="105">
        <f>+E11+E13+E12+E14</f>
        <v>256.73</v>
      </c>
      <c r="F10" s="105">
        <f>+F11+F13+F12</f>
        <v>806.5</v>
      </c>
      <c r="G10" s="105">
        <f>+G11+G13+G12+G14</f>
        <v>830</v>
      </c>
      <c r="H10" s="105">
        <f>+H11+H13+H12+H14</f>
        <v>274.60000000000002</v>
      </c>
      <c r="I10" s="105">
        <f t="shared" si="1"/>
        <v>36.156608689528909</v>
      </c>
      <c r="J10" s="106">
        <f t="shared" si="2"/>
        <v>33.084337349397593</v>
      </c>
    </row>
    <row r="11" spans="2:10" ht="18" customHeight="1">
      <c r="B11" s="102" t="s">
        <v>141</v>
      </c>
      <c r="C11" s="103"/>
      <c r="D11" s="103">
        <v>212.94</v>
      </c>
      <c r="E11" s="103">
        <v>16.03</v>
      </c>
      <c r="F11" s="103">
        <v>259.5</v>
      </c>
      <c r="G11" s="103">
        <v>276</v>
      </c>
      <c r="H11" s="103">
        <v>22</v>
      </c>
      <c r="I11" s="103">
        <f t="shared" si="1"/>
        <v>7.5279421433267588</v>
      </c>
      <c r="J11" s="104">
        <f t="shared" si="2"/>
        <v>7.9710144927536222</v>
      </c>
    </row>
    <row r="12" spans="2:10" ht="18" customHeight="1">
      <c r="B12" s="102" t="s">
        <v>142</v>
      </c>
      <c r="C12" s="103"/>
      <c r="D12" s="103">
        <v>20.85</v>
      </c>
      <c r="E12" s="103">
        <v>4.8</v>
      </c>
      <c r="F12" s="103">
        <v>19.8</v>
      </c>
      <c r="G12" s="103">
        <v>19.600000000000001</v>
      </c>
      <c r="H12" s="103">
        <v>5.5</v>
      </c>
      <c r="I12" s="103">
        <f t="shared" si="1"/>
        <v>23.021582733812949</v>
      </c>
      <c r="J12" s="104">
        <f t="shared" si="2"/>
        <v>28.061224489795915</v>
      </c>
    </row>
    <row r="13" spans="2:10" ht="18" customHeight="1">
      <c r="B13" s="102" t="s">
        <v>143</v>
      </c>
      <c r="C13" s="103"/>
      <c r="D13" s="103">
        <v>475.76</v>
      </c>
      <c r="E13" s="103">
        <v>235.4</v>
      </c>
      <c r="F13" s="103">
        <v>527.20000000000005</v>
      </c>
      <c r="G13" s="103">
        <v>534.4</v>
      </c>
      <c r="H13" s="103">
        <v>247.1</v>
      </c>
      <c r="I13" s="103">
        <f t="shared" si="1"/>
        <v>49.478728770808814</v>
      </c>
      <c r="J13" s="104">
        <f t="shared" si="2"/>
        <v>46.238772455089823</v>
      </c>
    </row>
    <row r="14" spans="2:10" ht="18" customHeight="1">
      <c r="B14" s="102" t="s">
        <v>144</v>
      </c>
      <c r="C14" s="103"/>
      <c r="D14" s="103">
        <v>0.5</v>
      </c>
      <c r="E14" s="103">
        <v>0.5</v>
      </c>
      <c r="F14" s="103"/>
      <c r="G14" s="103"/>
      <c r="H14" s="103"/>
      <c r="I14" s="103">
        <f t="shared" si="1"/>
        <v>100</v>
      </c>
      <c r="J14" s="104" t="e">
        <f t="shared" si="2"/>
        <v>#DIV/0!</v>
      </c>
    </row>
    <row r="15" spans="2:10" ht="24" customHeight="1">
      <c r="B15" s="82" t="s">
        <v>145</v>
      </c>
      <c r="C15" s="105">
        <f>+C16+C17</f>
        <v>0</v>
      </c>
      <c r="D15" s="105">
        <v>320.93</v>
      </c>
      <c r="E15" s="105">
        <v>148.34</v>
      </c>
      <c r="F15" s="105">
        <f>1090.4</f>
        <v>1090.4000000000001</v>
      </c>
      <c r="G15" s="105">
        <v>1090.5</v>
      </c>
      <c r="H15" s="105">
        <v>133</v>
      </c>
      <c r="I15" s="105">
        <f t="shared" si="1"/>
        <v>46.221917552114164</v>
      </c>
      <c r="J15" s="106">
        <f t="shared" si="2"/>
        <v>12.196240256762952</v>
      </c>
    </row>
    <row r="16" spans="2:10" ht="18" customHeight="1">
      <c r="B16" s="102" t="s">
        <v>146</v>
      </c>
      <c r="C16" s="103"/>
      <c r="D16" s="103"/>
      <c r="E16" s="103"/>
      <c r="F16" s="103"/>
      <c r="G16" s="103"/>
      <c r="H16" s="103"/>
      <c r="I16" s="107" t="e">
        <f t="shared" si="1"/>
        <v>#DIV/0!</v>
      </c>
      <c r="J16" s="104"/>
    </row>
    <row r="17" spans="2:10" ht="18" customHeight="1">
      <c r="B17" s="102" t="s">
        <v>147</v>
      </c>
      <c r="C17" s="103"/>
      <c r="D17" s="103"/>
      <c r="E17" s="103"/>
      <c r="F17" s="103"/>
      <c r="G17" s="103"/>
      <c r="H17" s="103"/>
      <c r="I17" s="107" t="e">
        <f t="shared" si="1"/>
        <v>#DIV/0!</v>
      </c>
      <c r="J17" s="104"/>
    </row>
    <row r="18" spans="2:10" ht="24" customHeight="1">
      <c r="B18" s="82" t="s">
        <v>148</v>
      </c>
      <c r="C18" s="105"/>
      <c r="D18" s="105">
        <v>223.76</v>
      </c>
      <c r="E18" s="105">
        <v>89.53</v>
      </c>
      <c r="F18" s="105">
        <v>320</v>
      </c>
      <c r="G18" s="105">
        <v>259.7</v>
      </c>
      <c r="H18" s="105">
        <v>94.7</v>
      </c>
      <c r="I18" s="105">
        <f t="shared" si="1"/>
        <v>40.011619592420452</v>
      </c>
      <c r="J18" s="106">
        <f t="shared" si="2"/>
        <v>36.465152098575281</v>
      </c>
    </row>
    <row r="19" spans="2:10" ht="18" customHeight="1">
      <c r="B19" s="87"/>
      <c r="C19" s="108"/>
      <c r="D19" s="109"/>
      <c r="E19" s="109"/>
      <c r="F19" s="108"/>
      <c r="G19" s="109"/>
      <c r="H19" s="109"/>
      <c r="I19" s="110"/>
      <c r="J19" s="111"/>
    </row>
    <row r="20" spans="2:10" ht="24" customHeight="1" thickBot="1">
      <c r="B20" s="91" t="s">
        <v>131</v>
      </c>
      <c r="C20" s="112">
        <f t="shared" ref="C20:H20" si="3">+C5+C10+C15+C18+C19</f>
        <v>0</v>
      </c>
      <c r="D20" s="113">
        <f t="shared" si="3"/>
        <v>5480.9100000000008</v>
      </c>
      <c r="E20" s="113">
        <f t="shared" si="3"/>
        <v>2571.3300000000004</v>
      </c>
      <c r="F20" s="113">
        <f t="shared" si="3"/>
        <v>6713.1999999999989</v>
      </c>
      <c r="G20" s="113">
        <f t="shared" si="3"/>
        <v>6743.8</v>
      </c>
      <c r="H20" s="113">
        <f t="shared" si="3"/>
        <v>2762.3999999999992</v>
      </c>
      <c r="I20" s="114">
        <f t="shared" si="1"/>
        <v>46.914289780346699</v>
      </c>
      <c r="J20" s="115">
        <f t="shared" si="2"/>
        <v>40.962068863252163</v>
      </c>
    </row>
    <row r="21" spans="2:10" ht="35.25" customHeight="1">
      <c r="B21" s="790" t="s">
        <v>845</v>
      </c>
      <c r="C21" s="791"/>
      <c r="D21" s="791"/>
      <c r="E21" s="791"/>
      <c r="F21" s="791"/>
      <c r="G21" s="791"/>
      <c r="H21" s="791"/>
      <c r="I21" s="791"/>
      <c r="J21" s="791"/>
    </row>
    <row r="22" spans="2:10" ht="21">
      <c r="B22" s="782"/>
      <c r="C22" s="782"/>
      <c r="D22" s="782"/>
      <c r="E22" s="782"/>
      <c r="F22" s="782"/>
      <c r="G22" s="782"/>
      <c r="H22" s="782"/>
      <c r="I22" s="782"/>
      <c r="J22" s="782"/>
    </row>
    <row r="23" spans="2:10" ht="24" customHeight="1">
      <c r="F23" s="78"/>
      <c r="G23" s="78"/>
      <c r="H23" s="78"/>
      <c r="I23" s="116"/>
      <c r="J23" s="116"/>
    </row>
    <row r="24" spans="2:10" ht="23.25" customHeight="1">
      <c r="F24" s="78"/>
      <c r="G24" s="78"/>
      <c r="H24" s="78"/>
    </row>
    <row r="25" spans="2:10">
      <c r="B25" s="95"/>
      <c r="C25" s="95"/>
      <c r="D25" s="95"/>
      <c r="E25" s="95"/>
      <c r="F25" s="95"/>
      <c r="G25" s="95"/>
      <c r="H25" s="95"/>
    </row>
    <row r="26" spans="2:10">
      <c r="B26" s="95"/>
      <c r="C26" s="117"/>
    </row>
    <row r="27" spans="2:10">
      <c r="C27" s="117"/>
    </row>
    <row r="28" spans="2:10">
      <c r="C28" s="117"/>
    </row>
    <row r="29" spans="2:10">
      <c r="C29" s="117">
        <f>+C5+C19</f>
        <v>0</v>
      </c>
    </row>
    <row r="30" spans="2:10">
      <c r="C30" s="117"/>
    </row>
    <row r="31" spans="2:10">
      <c r="D31" s="118"/>
      <c r="E31" s="118"/>
    </row>
    <row r="32" spans="2:10" hidden="1">
      <c r="B32" s="78" t="s">
        <v>149</v>
      </c>
      <c r="C32" s="78">
        <v>217.2</v>
      </c>
      <c r="D32" s="118"/>
      <c r="E32" s="118"/>
    </row>
    <row r="33" spans="2:5" hidden="1">
      <c r="B33" s="78" t="s">
        <v>150</v>
      </c>
      <c r="C33" s="78">
        <v>6.7</v>
      </c>
      <c r="D33" s="118"/>
      <c r="E33" s="118"/>
    </row>
    <row r="34" spans="2:5" hidden="1">
      <c r="B34" s="78" t="s">
        <v>151</v>
      </c>
      <c r="C34" s="78">
        <v>10</v>
      </c>
      <c r="D34" s="118"/>
      <c r="E34" s="118"/>
    </row>
    <row r="35" spans="2:5" hidden="1">
      <c r="B35" s="78" t="s">
        <v>152</v>
      </c>
      <c r="C35" s="78">
        <v>11.7</v>
      </c>
      <c r="D35" s="118"/>
      <c r="E35" s="118"/>
    </row>
    <row r="36" spans="2:5" hidden="1">
      <c r="B36" s="78" t="s">
        <v>153</v>
      </c>
      <c r="C36" s="78">
        <v>0.8</v>
      </c>
      <c r="D36" s="118"/>
      <c r="E36" s="118"/>
    </row>
    <row r="37" spans="2:5" hidden="1">
      <c r="C37" s="69">
        <f>SUM(C32:C36)</f>
        <v>246.39999999999998</v>
      </c>
      <c r="D37" s="118"/>
      <c r="E37" s="69"/>
    </row>
    <row r="38" spans="2:5">
      <c r="D38" s="118"/>
      <c r="E38" s="69"/>
    </row>
    <row r="39" spans="2:5">
      <c r="D39" s="118"/>
      <c r="E39" s="118"/>
    </row>
    <row r="40" spans="2:5">
      <c r="D40" s="118"/>
      <c r="E40" s="118"/>
    </row>
    <row r="41" spans="2:5">
      <c r="D41" s="118"/>
      <c r="E41" s="118"/>
    </row>
    <row r="42" spans="2:5">
      <c r="D42" s="118"/>
      <c r="E42" s="118"/>
    </row>
    <row r="43" spans="2:5">
      <c r="D43" s="118"/>
      <c r="E43" s="118"/>
    </row>
    <row r="44" spans="2:5">
      <c r="D44" s="118"/>
      <c r="E44" s="118"/>
    </row>
    <row r="45" spans="2:5">
      <c r="D45" s="118"/>
      <c r="E45" s="118"/>
    </row>
    <row r="46" spans="2:5">
      <c r="D46" s="118"/>
      <c r="E46" s="118"/>
    </row>
    <row r="47" spans="2:5">
      <c r="D47" s="118"/>
      <c r="E47" s="69"/>
    </row>
    <row r="48" spans="2:5">
      <c r="D48" s="118"/>
      <c r="E48" s="118"/>
    </row>
    <row r="49" spans="4:5">
      <c r="D49" s="118"/>
      <c r="E49" s="118"/>
    </row>
    <row r="50" spans="4:5">
      <c r="D50" s="118"/>
      <c r="E50" s="69"/>
    </row>
    <row r="51" spans="4:5">
      <c r="D51" s="118"/>
      <c r="E51" s="69"/>
    </row>
    <row r="52" spans="4:5">
      <c r="D52" s="118"/>
      <c r="E52" s="118"/>
    </row>
    <row r="53" spans="4:5">
      <c r="D53" s="118"/>
      <c r="E53" s="118"/>
    </row>
    <row r="54" spans="4:5">
      <c r="D54" s="118"/>
      <c r="E54" s="118"/>
    </row>
    <row r="55" spans="4:5">
      <c r="D55" s="118"/>
      <c r="E55" s="118"/>
    </row>
  </sheetData>
  <mergeCells count="7">
    <mergeCell ref="B22:J22"/>
    <mergeCell ref="B3:B4"/>
    <mergeCell ref="C3:E3"/>
    <mergeCell ref="F3:H3"/>
    <mergeCell ref="I3:I4"/>
    <mergeCell ref="J3:J4"/>
    <mergeCell ref="B21:J21"/>
  </mergeCells>
  <printOptions horizontalCentered="1"/>
  <pageMargins left="0.7" right="0.7" top="0.75" bottom="0.75" header="0.3" footer="0.3"/>
  <pageSetup scale="87" orientation="landscape" r:id="rId1"/>
  <ignoredErrors>
    <ignoredError sqref="I16:I17" evalError="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B2:Z134"/>
  <sheetViews>
    <sheetView workbookViewId="0">
      <selection activeCell="T41" sqref="T41:U41"/>
    </sheetView>
  </sheetViews>
  <sheetFormatPr baseColWidth="10" defaultColWidth="9.140625" defaultRowHeight="12.75"/>
  <cols>
    <col min="1" max="1" width="9.7109375" style="119" customWidth="1"/>
    <col min="2" max="2" width="51" style="119" customWidth="1"/>
    <col min="3" max="11" width="9.28515625" style="119" hidden="1" customWidth="1"/>
    <col min="12" max="12" width="9.140625" style="119" hidden="1" customWidth="1"/>
    <col min="13" max="13" width="10" style="119" hidden="1" customWidth="1"/>
    <col min="14" max="14" width="0" style="119" hidden="1" customWidth="1"/>
    <col min="15" max="15" width="9.140625" style="119" customWidth="1"/>
    <col min="16" max="21" width="9.28515625" style="119" customWidth="1"/>
    <col min="22" max="260" width="9.140625" style="119"/>
    <col min="261" max="261" width="9.7109375" style="119" customWidth="1"/>
    <col min="262" max="262" width="51" style="119" customWidth="1"/>
    <col min="263" max="271" width="0" style="119" hidden="1" customWidth="1"/>
    <col min="272" max="272" width="8.42578125" style="119" customWidth="1"/>
    <col min="273" max="273" width="10" style="119" customWidth="1"/>
    <col min="274" max="274" width="9.140625" style="119"/>
    <col min="275" max="275" width="9.140625" style="119" customWidth="1"/>
    <col min="276" max="277" width="9.28515625" style="119" customWidth="1"/>
    <col min="278" max="516" width="9.140625" style="119"/>
    <col min="517" max="517" width="9.7109375" style="119" customWidth="1"/>
    <col min="518" max="518" width="51" style="119" customWidth="1"/>
    <col min="519" max="527" width="0" style="119" hidden="1" customWidth="1"/>
    <col min="528" max="528" width="8.42578125" style="119" customWidth="1"/>
    <col min="529" max="529" width="10" style="119" customWidth="1"/>
    <col min="530" max="530" width="9.140625" style="119"/>
    <col min="531" max="531" width="9.140625" style="119" customWidth="1"/>
    <col min="532" max="533" width="9.28515625" style="119" customWidth="1"/>
    <col min="534" max="772" width="9.140625" style="119"/>
    <col min="773" max="773" width="9.7109375" style="119" customWidth="1"/>
    <col min="774" max="774" width="51" style="119" customWidth="1"/>
    <col min="775" max="783" width="0" style="119" hidden="1" customWidth="1"/>
    <col min="784" max="784" width="8.42578125" style="119" customWidth="1"/>
    <col min="785" max="785" width="10" style="119" customWidth="1"/>
    <col min="786" max="786" width="9.140625" style="119"/>
    <col min="787" max="787" width="9.140625" style="119" customWidth="1"/>
    <col min="788" max="789" width="9.28515625" style="119" customWidth="1"/>
    <col min="790" max="1028" width="9.140625" style="119"/>
    <col min="1029" max="1029" width="9.7109375" style="119" customWidth="1"/>
    <col min="1030" max="1030" width="51" style="119" customWidth="1"/>
    <col min="1031" max="1039" width="0" style="119" hidden="1" customWidth="1"/>
    <col min="1040" max="1040" width="8.42578125" style="119" customWidth="1"/>
    <col min="1041" max="1041" width="10" style="119" customWidth="1"/>
    <col min="1042" max="1042" width="9.140625" style="119"/>
    <col min="1043" max="1043" width="9.140625" style="119" customWidth="1"/>
    <col min="1044" max="1045" width="9.28515625" style="119" customWidth="1"/>
    <col min="1046" max="1284" width="9.140625" style="119"/>
    <col min="1285" max="1285" width="9.7109375" style="119" customWidth="1"/>
    <col min="1286" max="1286" width="51" style="119" customWidth="1"/>
    <col min="1287" max="1295" width="0" style="119" hidden="1" customWidth="1"/>
    <col min="1296" max="1296" width="8.42578125" style="119" customWidth="1"/>
    <col min="1297" max="1297" width="10" style="119" customWidth="1"/>
    <col min="1298" max="1298" width="9.140625" style="119"/>
    <col min="1299" max="1299" width="9.140625" style="119" customWidth="1"/>
    <col min="1300" max="1301" width="9.28515625" style="119" customWidth="1"/>
    <col min="1302" max="1540" width="9.140625" style="119"/>
    <col min="1541" max="1541" width="9.7109375" style="119" customWidth="1"/>
    <col min="1542" max="1542" width="51" style="119" customWidth="1"/>
    <col min="1543" max="1551" width="0" style="119" hidden="1" customWidth="1"/>
    <col min="1552" max="1552" width="8.42578125" style="119" customWidth="1"/>
    <col min="1553" max="1553" width="10" style="119" customWidth="1"/>
    <col min="1554" max="1554" width="9.140625" style="119"/>
    <col min="1555" max="1555" width="9.140625" style="119" customWidth="1"/>
    <col min="1556" max="1557" width="9.28515625" style="119" customWidth="1"/>
    <col min="1558" max="1796" width="9.140625" style="119"/>
    <col min="1797" max="1797" width="9.7109375" style="119" customWidth="1"/>
    <col min="1798" max="1798" width="51" style="119" customWidth="1"/>
    <col min="1799" max="1807" width="0" style="119" hidden="1" customWidth="1"/>
    <col min="1808" max="1808" width="8.42578125" style="119" customWidth="1"/>
    <col min="1809" max="1809" width="10" style="119" customWidth="1"/>
    <col min="1810" max="1810" width="9.140625" style="119"/>
    <col min="1811" max="1811" width="9.140625" style="119" customWidth="1"/>
    <col min="1812" max="1813" width="9.28515625" style="119" customWidth="1"/>
    <col min="1814" max="2052" width="9.140625" style="119"/>
    <col min="2053" max="2053" width="9.7109375" style="119" customWidth="1"/>
    <col min="2054" max="2054" width="51" style="119" customWidth="1"/>
    <col min="2055" max="2063" width="0" style="119" hidden="1" customWidth="1"/>
    <col min="2064" max="2064" width="8.42578125" style="119" customWidth="1"/>
    <col min="2065" max="2065" width="10" style="119" customWidth="1"/>
    <col min="2066" max="2066" width="9.140625" style="119"/>
    <col min="2067" max="2067" width="9.140625" style="119" customWidth="1"/>
    <col min="2068" max="2069" width="9.28515625" style="119" customWidth="1"/>
    <col min="2070" max="2308" width="9.140625" style="119"/>
    <col min="2309" max="2309" width="9.7109375" style="119" customWidth="1"/>
    <col min="2310" max="2310" width="51" style="119" customWidth="1"/>
    <col min="2311" max="2319" width="0" style="119" hidden="1" customWidth="1"/>
    <col min="2320" max="2320" width="8.42578125" style="119" customWidth="1"/>
    <col min="2321" max="2321" width="10" style="119" customWidth="1"/>
    <col min="2322" max="2322" width="9.140625" style="119"/>
    <col min="2323" max="2323" width="9.140625" style="119" customWidth="1"/>
    <col min="2324" max="2325" width="9.28515625" style="119" customWidth="1"/>
    <col min="2326" max="2564" width="9.140625" style="119"/>
    <col min="2565" max="2565" width="9.7109375" style="119" customWidth="1"/>
    <col min="2566" max="2566" width="51" style="119" customWidth="1"/>
    <col min="2567" max="2575" width="0" style="119" hidden="1" customWidth="1"/>
    <col min="2576" max="2576" width="8.42578125" style="119" customWidth="1"/>
    <col min="2577" max="2577" width="10" style="119" customWidth="1"/>
    <col min="2578" max="2578" width="9.140625" style="119"/>
    <col min="2579" max="2579" width="9.140625" style="119" customWidth="1"/>
    <col min="2580" max="2581" width="9.28515625" style="119" customWidth="1"/>
    <col min="2582" max="2820" width="9.140625" style="119"/>
    <col min="2821" max="2821" width="9.7109375" style="119" customWidth="1"/>
    <col min="2822" max="2822" width="51" style="119" customWidth="1"/>
    <col min="2823" max="2831" width="0" style="119" hidden="1" customWidth="1"/>
    <col min="2832" max="2832" width="8.42578125" style="119" customWidth="1"/>
    <col min="2833" max="2833" width="10" style="119" customWidth="1"/>
    <col min="2834" max="2834" width="9.140625" style="119"/>
    <col min="2835" max="2835" width="9.140625" style="119" customWidth="1"/>
    <col min="2836" max="2837" width="9.28515625" style="119" customWidth="1"/>
    <col min="2838" max="3076" width="9.140625" style="119"/>
    <col min="3077" max="3077" width="9.7109375" style="119" customWidth="1"/>
    <col min="3078" max="3078" width="51" style="119" customWidth="1"/>
    <col min="3079" max="3087" width="0" style="119" hidden="1" customWidth="1"/>
    <col min="3088" max="3088" width="8.42578125" style="119" customWidth="1"/>
    <col min="3089" max="3089" width="10" style="119" customWidth="1"/>
    <col min="3090" max="3090" width="9.140625" style="119"/>
    <col min="3091" max="3091" width="9.140625" style="119" customWidth="1"/>
    <col min="3092" max="3093" width="9.28515625" style="119" customWidth="1"/>
    <col min="3094" max="3332" width="9.140625" style="119"/>
    <col min="3333" max="3333" width="9.7109375" style="119" customWidth="1"/>
    <col min="3334" max="3334" width="51" style="119" customWidth="1"/>
    <col min="3335" max="3343" width="0" style="119" hidden="1" customWidth="1"/>
    <col min="3344" max="3344" width="8.42578125" style="119" customWidth="1"/>
    <col min="3345" max="3345" width="10" style="119" customWidth="1"/>
    <col min="3346" max="3346" width="9.140625" style="119"/>
    <col min="3347" max="3347" width="9.140625" style="119" customWidth="1"/>
    <col min="3348" max="3349" width="9.28515625" style="119" customWidth="1"/>
    <col min="3350" max="3588" width="9.140625" style="119"/>
    <col min="3589" max="3589" width="9.7109375" style="119" customWidth="1"/>
    <col min="3590" max="3590" width="51" style="119" customWidth="1"/>
    <col min="3591" max="3599" width="0" style="119" hidden="1" customWidth="1"/>
    <col min="3600" max="3600" width="8.42578125" style="119" customWidth="1"/>
    <col min="3601" max="3601" width="10" style="119" customWidth="1"/>
    <col min="3602" max="3602" width="9.140625" style="119"/>
    <col min="3603" max="3603" width="9.140625" style="119" customWidth="1"/>
    <col min="3604" max="3605" width="9.28515625" style="119" customWidth="1"/>
    <col min="3606" max="3844" width="9.140625" style="119"/>
    <col min="3845" max="3845" width="9.7109375" style="119" customWidth="1"/>
    <col min="3846" max="3846" width="51" style="119" customWidth="1"/>
    <col min="3847" max="3855" width="0" style="119" hidden="1" customWidth="1"/>
    <col min="3856" max="3856" width="8.42578125" style="119" customWidth="1"/>
    <col min="3857" max="3857" width="10" style="119" customWidth="1"/>
    <col min="3858" max="3858" width="9.140625" style="119"/>
    <col min="3859" max="3859" width="9.140625" style="119" customWidth="1"/>
    <col min="3860" max="3861" width="9.28515625" style="119" customWidth="1"/>
    <col min="3862" max="4100" width="9.140625" style="119"/>
    <col min="4101" max="4101" width="9.7109375" style="119" customWidth="1"/>
    <col min="4102" max="4102" width="51" style="119" customWidth="1"/>
    <col min="4103" max="4111" width="0" style="119" hidden="1" customWidth="1"/>
    <col min="4112" max="4112" width="8.42578125" style="119" customWidth="1"/>
    <col min="4113" max="4113" width="10" style="119" customWidth="1"/>
    <col min="4114" max="4114" width="9.140625" style="119"/>
    <col min="4115" max="4115" width="9.140625" style="119" customWidth="1"/>
    <col min="4116" max="4117" width="9.28515625" style="119" customWidth="1"/>
    <col min="4118" max="4356" width="9.140625" style="119"/>
    <col min="4357" max="4357" width="9.7109375" style="119" customWidth="1"/>
    <col min="4358" max="4358" width="51" style="119" customWidth="1"/>
    <col min="4359" max="4367" width="0" style="119" hidden="1" customWidth="1"/>
    <col min="4368" max="4368" width="8.42578125" style="119" customWidth="1"/>
    <col min="4369" max="4369" width="10" style="119" customWidth="1"/>
    <col min="4370" max="4370" width="9.140625" style="119"/>
    <col min="4371" max="4371" width="9.140625" style="119" customWidth="1"/>
    <col min="4372" max="4373" width="9.28515625" style="119" customWidth="1"/>
    <col min="4374" max="4612" width="9.140625" style="119"/>
    <col min="4613" max="4613" width="9.7109375" style="119" customWidth="1"/>
    <col min="4614" max="4614" width="51" style="119" customWidth="1"/>
    <col min="4615" max="4623" width="0" style="119" hidden="1" customWidth="1"/>
    <col min="4624" max="4624" width="8.42578125" style="119" customWidth="1"/>
    <col min="4625" max="4625" width="10" style="119" customWidth="1"/>
    <col min="4626" max="4626" width="9.140625" style="119"/>
    <col min="4627" max="4627" width="9.140625" style="119" customWidth="1"/>
    <col min="4628" max="4629" width="9.28515625" style="119" customWidth="1"/>
    <col min="4630" max="4868" width="9.140625" style="119"/>
    <col min="4869" max="4869" width="9.7109375" style="119" customWidth="1"/>
    <col min="4870" max="4870" width="51" style="119" customWidth="1"/>
    <col min="4871" max="4879" width="0" style="119" hidden="1" customWidth="1"/>
    <col min="4880" max="4880" width="8.42578125" style="119" customWidth="1"/>
    <col min="4881" max="4881" width="10" style="119" customWidth="1"/>
    <col min="4882" max="4882" width="9.140625" style="119"/>
    <col min="4883" max="4883" width="9.140625" style="119" customWidth="1"/>
    <col min="4884" max="4885" width="9.28515625" style="119" customWidth="1"/>
    <col min="4886" max="5124" width="9.140625" style="119"/>
    <col min="5125" max="5125" width="9.7109375" style="119" customWidth="1"/>
    <col min="5126" max="5126" width="51" style="119" customWidth="1"/>
    <col min="5127" max="5135" width="0" style="119" hidden="1" customWidth="1"/>
    <col min="5136" max="5136" width="8.42578125" style="119" customWidth="1"/>
    <col min="5137" max="5137" width="10" style="119" customWidth="1"/>
    <col min="5138" max="5138" width="9.140625" style="119"/>
    <col min="5139" max="5139" width="9.140625" style="119" customWidth="1"/>
    <col min="5140" max="5141" width="9.28515625" style="119" customWidth="1"/>
    <col min="5142" max="5380" width="9.140625" style="119"/>
    <col min="5381" max="5381" width="9.7109375" style="119" customWidth="1"/>
    <col min="5382" max="5382" width="51" style="119" customWidth="1"/>
    <col min="5383" max="5391" width="0" style="119" hidden="1" customWidth="1"/>
    <col min="5392" max="5392" width="8.42578125" style="119" customWidth="1"/>
    <col min="5393" max="5393" width="10" style="119" customWidth="1"/>
    <col min="5394" max="5394" width="9.140625" style="119"/>
    <col min="5395" max="5395" width="9.140625" style="119" customWidth="1"/>
    <col min="5396" max="5397" width="9.28515625" style="119" customWidth="1"/>
    <col min="5398" max="5636" width="9.140625" style="119"/>
    <col min="5637" max="5637" width="9.7109375" style="119" customWidth="1"/>
    <col min="5638" max="5638" width="51" style="119" customWidth="1"/>
    <col min="5639" max="5647" width="0" style="119" hidden="1" customWidth="1"/>
    <col min="5648" max="5648" width="8.42578125" style="119" customWidth="1"/>
    <col min="5649" max="5649" width="10" style="119" customWidth="1"/>
    <col min="5650" max="5650" width="9.140625" style="119"/>
    <col min="5651" max="5651" width="9.140625" style="119" customWidth="1"/>
    <col min="5652" max="5653" width="9.28515625" style="119" customWidth="1"/>
    <col min="5654" max="5892" width="9.140625" style="119"/>
    <col min="5893" max="5893" width="9.7109375" style="119" customWidth="1"/>
    <col min="5894" max="5894" width="51" style="119" customWidth="1"/>
    <col min="5895" max="5903" width="0" style="119" hidden="1" customWidth="1"/>
    <col min="5904" max="5904" width="8.42578125" style="119" customWidth="1"/>
    <col min="5905" max="5905" width="10" style="119" customWidth="1"/>
    <col min="5906" max="5906" width="9.140625" style="119"/>
    <col min="5907" max="5907" width="9.140625" style="119" customWidth="1"/>
    <col min="5908" max="5909" width="9.28515625" style="119" customWidth="1"/>
    <col min="5910" max="6148" width="9.140625" style="119"/>
    <col min="6149" max="6149" width="9.7109375" style="119" customWidth="1"/>
    <col min="6150" max="6150" width="51" style="119" customWidth="1"/>
    <col min="6151" max="6159" width="0" style="119" hidden="1" customWidth="1"/>
    <col min="6160" max="6160" width="8.42578125" style="119" customWidth="1"/>
    <col min="6161" max="6161" width="10" style="119" customWidth="1"/>
    <col min="6162" max="6162" width="9.140625" style="119"/>
    <col min="6163" max="6163" width="9.140625" style="119" customWidth="1"/>
    <col min="6164" max="6165" width="9.28515625" style="119" customWidth="1"/>
    <col min="6166" max="6404" width="9.140625" style="119"/>
    <col min="6405" max="6405" width="9.7109375" style="119" customWidth="1"/>
    <col min="6406" max="6406" width="51" style="119" customWidth="1"/>
    <col min="6407" max="6415" width="0" style="119" hidden="1" customWidth="1"/>
    <col min="6416" max="6416" width="8.42578125" style="119" customWidth="1"/>
    <col min="6417" max="6417" width="10" style="119" customWidth="1"/>
    <col min="6418" max="6418" width="9.140625" style="119"/>
    <col min="6419" max="6419" width="9.140625" style="119" customWidth="1"/>
    <col min="6420" max="6421" width="9.28515625" style="119" customWidth="1"/>
    <col min="6422" max="6660" width="9.140625" style="119"/>
    <col min="6661" max="6661" width="9.7109375" style="119" customWidth="1"/>
    <col min="6662" max="6662" width="51" style="119" customWidth="1"/>
    <col min="6663" max="6671" width="0" style="119" hidden="1" customWidth="1"/>
    <col min="6672" max="6672" width="8.42578125" style="119" customWidth="1"/>
    <col min="6673" max="6673" width="10" style="119" customWidth="1"/>
    <col min="6674" max="6674" width="9.140625" style="119"/>
    <col min="6675" max="6675" width="9.140625" style="119" customWidth="1"/>
    <col min="6676" max="6677" width="9.28515625" style="119" customWidth="1"/>
    <col min="6678" max="6916" width="9.140625" style="119"/>
    <col min="6917" max="6917" width="9.7109375" style="119" customWidth="1"/>
    <col min="6918" max="6918" width="51" style="119" customWidth="1"/>
    <col min="6919" max="6927" width="0" style="119" hidden="1" customWidth="1"/>
    <col min="6928" max="6928" width="8.42578125" style="119" customWidth="1"/>
    <col min="6929" max="6929" width="10" style="119" customWidth="1"/>
    <col min="6930" max="6930" width="9.140625" style="119"/>
    <col min="6931" max="6931" width="9.140625" style="119" customWidth="1"/>
    <col min="6932" max="6933" width="9.28515625" style="119" customWidth="1"/>
    <col min="6934" max="7172" width="9.140625" style="119"/>
    <col min="7173" max="7173" width="9.7109375" style="119" customWidth="1"/>
    <col min="7174" max="7174" width="51" style="119" customWidth="1"/>
    <col min="7175" max="7183" width="0" style="119" hidden="1" customWidth="1"/>
    <col min="7184" max="7184" width="8.42578125" style="119" customWidth="1"/>
    <col min="7185" max="7185" width="10" style="119" customWidth="1"/>
    <col min="7186" max="7186" width="9.140625" style="119"/>
    <col min="7187" max="7187" width="9.140625" style="119" customWidth="1"/>
    <col min="7188" max="7189" width="9.28515625" style="119" customWidth="1"/>
    <col min="7190" max="7428" width="9.140625" style="119"/>
    <col min="7429" max="7429" width="9.7109375" style="119" customWidth="1"/>
    <col min="7430" max="7430" width="51" style="119" customWidth="1"/>
    <col min="7431" max="7439" width="0" style="119" hidden="1" customWidth="1"/>
    <col min="7440" max="7440" width="8.42578125" style="119" customWidth="1"/>
    <col min="7441" max="7441" width="10" style="119" customWidth="1"/>
    <col min="7442" max="7442" width="9.140625" style="119"/>
    <col min="7443" max="7443" width="9.140625" style="119" customWidth="1"/>
    <col min="7444" max="7445" width="9.28515625" style="119" customWidth="1"/>
    <col min="7446" max="7684" width="9.140625" style="119"/>
    <col min="7685" max="7685" width="9.7109375" style="119" customWidth="1"/>
    <col min="7686" max="7686" width="51" style="119" customWidth="1"/>
    <col min="7687" max="7695" width="0" style="119" hidden="1" customWidth="1"/>
    <col min="7696" max="7696" width="8.42578125" style="119" customWidth="1"/>
    <col min="7697" max="7697" width="10" style="119" customWidth="1"/>
    <col min="7698" max="7698" width="9.140625" style="119"/>
    <col min="7699" max="7699" width="9.140625" style="119" customWidth="1"/>
    <col min="7700" max="7701" width="9.28515625" style="119" customWidth="1"/>
    <col min="7702" max="7940" width="9.140625" style="119"/>
    <col min="7941" max="7941" width="9.7109375" style="119" customWidth="1"/>
    <col min="7942" max="7942" width="51" style="119" customWidth="1"/>
    <col min="7943" max="7951" width="0" style="119" hidden="1" customWidth="1"/>
    <col min="7952" max="7952" width="8.42578125" style="119" customWidth="1"/>
    <col min="7953" max="7953" width="10" style="119" customWidth="1"/>
    <col min="7954" max="7954" width="9.140625" style="119"/>
    <col min="7955" max="7955" width="9.140625" style="119" customWidth="1"/>
    <col min="7956" max="7957" width="9.28515625" style="119" customWidth="1"/>
    <col min="7958" max="8196" width="9.140625" style="119"/>
    <col min="8197" max="8197" width="9.7109375" style="119" customWidth="1"/>
    <col min="8198" max="8198" width="51" style="119" customWidth="1"/>
    <col min="8199" max="8207" width="0" style="119" hidden="1" customWidth="1"/>
    <col min="8208" max="8208" width="8.42578125" style="119" customWidth="1"/>
    <col min="8209" max="8209" width="10" style="119" customWidth="1"/>
    <col min="8210" max="8210" width="9.140625" style="119"/>
    <col min="8211" max="8211" width="9.140625" style="119" customWidth="1"/>
    <col min="8212" max="8213" width="9.28515625" style="119" customWidth="1"/>
    <col min="8214" max="8452" width="9.140625" style="119"/>
    <col min="8453" max="8453" width="9.7109375" style="119" customWidth="1"/>
    <col min="8454" max="8454" width="51" style="119" customWidth="1"/>
    <col min="8455" max="8463" width="0" style="119" hidden="1" customWidth="1"/>
    <col min="8464" max="8464" width="8.42578125" style="119" customWidth="1"/>
    <col min="8465" max="8465" width="10" style="119" customWidth="1"/>
    <col min="8466" max="8466" width="9.140625" style="119"/>
    <col min="8467" max="8467" width="9.140625" style="119" customWidth="1"/>
    <col min="8468" max="8469" width="9.28515625" style="119" customWidth="1"/>
    <col min="8470" max="8708" width="9.140625" style="119"/>
    <col min="8709" max="8709" width="9.7109375" style="119" customWidth="1"/>
    <col min="8710" max="8710" width="51" style="119" customWidth="1"/>
    <col min="8711" max="8719" width="0" style="119" hidden="1" customWidth="1"/>
    <col min="8720" max="8720" width="8.42578125" style="119" customWidth="1"/>
    <col min="8721" max="8721" width="10" style="119" customWidth="1"/>
    <col min="8722" max="8722" width="9.140625" style="119"/>
    <col min="8723" max="8723" width="9.140625" style="119" customWidth="1"/>
    <col min="8724" max="8725" width="9.28515625" style="119" customWidth="1"/>
    <col min="8726" max="8964" width="9.140625" style="119"/>
    <col min="8965" max="8965" width="9.7109375" style="119" customWidth="1"/>
    <col min="8966" max="8966" width="51" style="119" customWidth="1"/>
    <col min="8967" max="8975" width="0" style="119" hidden="1" customWidth="1"/>
    <col min="8976" max="8976" width="8.42578125" style="119" customWidth="1"/>
    <col min="8977" max="8977" width="10" style="119" customWidth="1"/>
    <col min="8978" max="8978" width="9.140625" style="119"/>
    <col min="8979" max="8979" width="9.140625" style="119" customWidth="1"/>
    <col min="8980" max="8981" width="9.28515625" style="119" customWidth="1"/>
    <col min="8982" max="9220" width="9.140625" style="119"/>
    <col min="9221" max="9221" width="9.7109375" style="119" customWidth="1"/>
    <col min="9222" max="9222" width="51" style="119" customWidth="1"/>
    <col min="9223" max="9231" width="0" style="119" hidden="1" customWidth="1"/>
    <col min="9232" max="9232" width="8.42578125" style="119" customWidth="1"/>
    <col min="9233" max="9233" width="10" style="119" customWidth="1"/>
    <col min="9234" max="9234" width="9.140625" style="119"/>
    <col min="9235" max="9235" width="9.140625" style="119" customWidth="1"/>
    <col min="9236" max="9237" width="9.28515625" style="119" customWidth="1"/>
    <col min="9238" max="9476" width="9.140625" style="119"/>
    <col min="9477" max="9477" width="9.7109375" style="119" customWidth="1"/>
    <col min="9478" max="9478" width="51" style="119" customWidth="1"/>
    <col min="9479" max="9487" width="0" style="119" hidden="1" customWidth="1"/>
    <col min="9488" max="9488" width="8.42578125" style="119" customWidth="1"/>
    <col min="9489" max="9489" width="10" style="119" customWidth="1"/>
    <col min="9490" max="9490" width="9.140625" style="119"/>
    <col min="9491" max="9491" width="9.140625" style="119" customWidth="1"/>
    <col min="9492" max="9493" width="9.28515625" style="119" customWidth="1"/>
    <col min="9494" max="9732" width="9.140625" style="119"/>
    <col min="9733" max="9733" width="9.7109375" style="119" customWidth="1"/>
    <col min="9734" max="9734" width="51" style="119" customWidth="1"/>
    <col min="9735" max="9743" width="0" style="119" hidden="1" customWidth="1"/>
    <col min="9744" max="9744" width="8.42578125" style="119" customWidth="1"/>
    <col min="9745" max="9745" width="10" style="119" customWidth="1"/>
    <col min="9746" max="9746" width="9.140625" style="119"/>
    <col min="9747" max="9747" width="9.140625" style="119" customWidth="1"/>
    <col min="9748" max="9749" width="9.28515625" style="119" customWidth="1"/>
    <col min="9750" max="9988" width="9.140625" style="119"/>
    <col min="9989" max="9989" width="9.7109375" style="119" customWidth="1"/>
    <col min="9990" max="9990" width="51" style="119" customWidth="1"/>
    <col min="9991" max="9999" width="0" style="119" hidden="1" customWidth="1"/>
    <col min="10000" max="10000" width="8.42578125" style="119" customWidth="1"/>
    <col min="10001" max="10001" width="10" style="119" customWidth="1"/>
    <col min="10002" max="10002" width="9.140625" style="119"/>
    <col min="10003" max="10003" width="9.140625" style="119" customWidth="1"/>
    <col min="10004" max="10005" width="9.28515625" style="119" customWidth="1"/>
    <col min="10006" max="10244" width="9.140625" style="119"/>
    <col min="10245" max="10245" width="9.7109375" style="119" customWidth="1"/>
    <col min="10246" max="10246" width="51" style="119" customWidth="1"/>
    <col min="10247" max="10255" width="0" style="119" hidden="1" customWidth="1"/>
    <col min="10256" max="10256" width="8.42578125" style="119" customWidth="1"/>
    <col min="10257" max="10257" width="10" style="119" customWidth="1"/>
    <col min="10258" max="10258" width="9.140625" style="119"/>
    <col min="10259" max="10259" width="9.140625" style="119" customWidth="1"/>
    <col min="10260" max="10261" width="9.28515625" style="119" customWidth="1"/>
    <col min="10262" max="10500" width="9.140625" style="119"/>
    <col min="10501" max="10501" width="9.7109375" style="119" customWidth="1"/>
    <col min="10502" max="10502" width="51" style="119" customWidth="1"/>
    <col min="10503" max="10511" width="0" style="119" hidden="1" customWidth="1"/>
    <col min="10512" max="10512" width="8.42578125" style="119" customWidth="1"/>
    <col min="10513" max="10513" width="10" style="119" customWidth="1"/>
    <col min="10514" max="10514" width="9.140625" style="119"/>
    <col min="10515" max="10515" width="9.140625" style="119" customWidth="1"/>
    <col min="10516" max="10517" width="9.28515625" style="119" customWidth="1"/>
    <col min="10518" max="10756" width="9.140625" style="119"/>
    <col min="10757" max="10757" width="9.7109375" style="119" customWidth="1"/>
    <col min="10758" max="10758" width="51" style="119" customWidth="1"/>
    <col min="10759" max="10767" width="0" style="119" hidden="1" customWidth="1"/>
    <col min="10768" max="10768" width="8.42578125" style="119" customWidth="1"/>
    <col min="10769" max="10769" width="10" style="119" customWidth="1"/>
    <col min="10770" max="10770" width="9.140625" style="119"/>
    <col min="10771" max="10771" width="9.140625" style="119" customWidth="1"/>
    <col min="10772" max="10773" width="9.28515625" style="119" customWidth="1"/>
    <col min="10774" max="11012" width="9.140625" style="119"/>
    <col min="11013" max="11013" width="9.7109375" style="119" customWidth="1"/>
    <col min="11014" max="11014" width="51" style="119" customWidth="1"/>
    <col min="11015" max="11023" width="0" style="119" hidden="1" customWidth="1"/>
    <col min="11024" max="11024" width="8.42578125" style="119" customWidth="1"/>
    <col min="11025" max="11025" width="10" style="119" customWidth="1"/>
    <col min="11026" max="11026" width="9.140625" style="119"/>
    <col min="11027" max="11027" width="9.140625" style="119" customWidth="1"/>
    <col min="11028" max="11029" width="9.28515625" style="119" customWidth="1"/>
    <col min="11030" max="11268" width="9.140625" style="119"/>
    <col min="11269" max="11269" width="9.7109375" style="119" customWidth="1"/>
    <col min="11270" max="11270" width="51" style="119" customWidth="1"/>
    <col min="11271" max="11279" width="0" style="119" hidden="1" customWidth="1"/>
    <col min="11280" max="11280" width="8.42578125" style="119" customWidth="1"/>
    <col min="11281" max="11281" width="10" style="119" customWidth="1"/>
    <col min="11282" max="11282" width="9.140625" style="119"/>
    <col min="11283" max="11283" width="9.140625" style="119" customWidth="1"/>
    <col min="11284" max="11285" width="9.28515625" style="119" customWidth="1"/>
    <col min="11286" max="11524" width="9.140625" style="119"/>
    <col min="11525" max="11525" width="9.7109375" style="119" customWidth="1"/>
    <col min="11526" max="11526" width="51" style="119" customWidth="1"/>
    <col min="11527" max="11535" width="0" style="119" hidden="1" customWidth="1"/>
    <col min="11536" max="11536" width="8.42578125" style="119" customWidth="1"/>
    <col min="11537" max="11537" width="10" style="119" customWidth="1"/>
    <col min="11538" max="11538" width="9.140625" style="119"/>
    <col min="11539" max="11539" width="9.140625" style="119" customWidth="1"/>
    <col min="11540" max="11541" width="9.28515625" style="119" customWidth="1"/>
    <col min="11542" max="11780" width="9.140625" style="119"/>
    <col min="11781" max="11781" width="9.7109375" style="119" customWidth="1"/>
    <col min="11782" max="11782" width="51" style="119" customWidth="1"/>
    <col min="11783" max="11791" width="0" style="119" hidden="1" customWidth="1"/>
    <col min="11792" max="11792" width="8.42578125" style="119" customWidth="1"/>
    <col min="11793" max="11793" width="10" style="119" customWidth="1"/>
    <col min="11794" max="11794" width="9.140625" style="119"/>
    <col min="11795" max="11795" width="9.140625" style="119" customWidth="1"/>
    <col min="11796" max="11797" width="9.28515625" style="119" customWidth="1"/>
    <col min="11798" max="12036" width="9.140625" style="119"/>
    <col min="12037" max="12037" width="9.7109375" style="119" customWidth="1"/>
    <col min="12038" max="12038" width="51" style="119" customWidth="1"/>
    <col min="12039" max="12047" width="0" style="119" hidden="1" customWidth="1"/>
    <col min="12048" max="12048" width="8.42578125" style="119" customWidth="1"/>
    <col min="12049" max="12049" width="10" style="119" customWidth="1"/>
    <col min="12050" max="12050" width="9.140625" style="119"/>
    <col min="12051" max="12051" width="9.140625" style="119" customWidth="1"/>
    <col min="12052" max="12053" width="9.28515625" style="119" customWidth="1"/>
    <col min="12054" max="12292" width="9.140625" style="119"/>
    <col min="12293" max="12293" width="9.7109375" style="119" customWidth="1"/>
    <col min="12294" max="12294" width="51" style="119" customWidth="1"/>
    <col min="12295" max="12303" width="0" style="119" hidden="1" customWidth="1"/>
    <col min="12304" max="12304" width="8.42578125" style="119" customWidth="1"/>
    <col min="12305" max="12305" width="10" style="119" customWidth="1"/>
    <col min="12306" max="12306" width="9.140625" style="119"/>
    <col min="12307" max="12307" width="9.140625" style="119" customWidth="1"/>
    <col min="12308" max="12309" width="9.28515625" style="119" customWidth="1"/>
    <col min="12310" max="12548" width="9.140625" style="119"/>
    <col min="12549" max="12549" width="9.7109375" style="119" customWidth="1"/>
    <col min="12550" max="12550" width="51" style="119" customWidth="1"/>
    <col min="12551" max="12559" width="0" style="119" hidden="1" customWidth="1"/>
    <col min="12560" max="12560" width="8.42578125" style="119" customWidth="1"/>
    <col min="12561" max="12561" width="10" style="119" customWidth="1"/>
    <col min="12562" max="12562" width="9.140625" style="119"/>
    <col min="12563" max="12563" width="9.140625" style="119" customWidth="1"/>
    <col min="12564" max="12565" width="9.28515625" style="119" customWidth="1"/>
    <col min="12566" max="12804" width="9.140625" style="119"/>
    <col min="12805" max="12805" width="9.7109375" style="119" customWidth="1"/>
    <col min="12806" max="12806" width="51" style="119" customWidth="1"/>
    <col min="12807" max="12815" width="0" style="119" hidden="1" customWidth="1"/>
    <col min="12816" max="12816" width="8.42578125" style="119" customWidth="1"/>
    <col min="12817" max="12817" width="10" style="119" customWidth="1"/>
    <col min="12818" max="12818" width="9.140625" style="119"/>
    <col min="12819" max="12819" width="9.140625" style="119" customWidth="1"/>
    <col min="12820" max="12821" width="9.28515625" style="119" customWidth="1"/>
    <col min="12822" max="13060" width="9.140625" style="119"/>
    <col min="13061" max="13061" width="9.7109375" style="119" customWidth="1"/>
    <col min="13062" max="13062" width="51" style="119" customWidth="1"/>
    <col min="13063" max="13071" width="0" style="119" hidden="1" customWidth="1"/>
    <col min="13072" max="13072" width="8.42578125" style="119" customWidth="1"/>
    <col min="13073" max="13073" width="10" style="119" customWidth="1"/>
    <col min="13074" max="13074" width="9.140625" style="119"/>
    <col min="13075" max="13075" width="9.140625" style="119" customWidth="1"/>
    <col min="13076" max="13077" width="9.28515625" style="119" customWidth="1"/>
    <col min="13078" max="13316" width="9.140625" style="119"/>
    <col min="13317" max="13317" width="9.7109375" style="119" customWidth="1"/>
    <col min="13318" max="13318" width="51" style="119" customWidth="1"/>
    <col min="13319" max="13327" width="0" style="119" hidden="1" customWidth="1"/>
    <col min="13328" max="13328" width="8.42578125" style="119" customWidth="1"/>
    <col min="13329" max="13329" width="10" style="119" customWidth="1"/>
    <col min="13330" max="13330" width="9.140625" style="119"/>
    <col min="13331" max="13331" width="9.140625" style="119" customWidth="1"/>
    <col min="13332" max="13333" width="9.28515625" style="119" customWidth="1"/>
    <col min="13334" max="13572" width="9.140625" style="119"/>
    <col min="13573" max="13573" width="9.7109375" style="119" customWidth="1"/>
    <col min="13574" max="13574" width="51" style="119" customWidth="1"/>
    <col min="13575" max="13583" width="0" style="119" hidden="1" customWidth="1"/>
    <col min="13584" max="13584" width="8.42578125" style="119" customWidth="1"/>
    <col min="13585" max="13585" width="10" style="119" customWidth="1"/>
    <col min="13586" max="13586" width="9.140625" style="119"/>
    <col min="13587" max="13587" width="9.140625" style="119" customWidth="1"/>
    <col min="13588" max="13589" width="9.28515625" style="119" customWidth="1"/>
    <col min="13590" max="13828" width="9.140625" style="119"/>
    <col min="13829" max="13829" width="9.7109375" style="119" customWidth="1"/>
    <col min="13830" max="13830" width="51" style="119" customWidth="1"/>
    <col min="13831" max="13839" width="0" style="119" hidden="1" customWidth="1"/>
    <col min="13840" max="13840" width="8.42578125" style="119" customWidth="1"/>
    <col min="13841" max="13841" width="10" style="119" customWidth="1"/>
    <col min="13842" max="13842" width="9.140625" style="119"/>
    <col min="13843" max="13843" width="9.140625" style="119" customWidth="1"/>
    <col min="13844" max="13845" width="9.28515625" style="119" customWidth="1"/>
    <col min="13846" max="14084" width="9.140625" style="119"/>
    <col min="14085" max="14085" width="9.7109375" style="119" customWidth="1"/>
    <col min="14086" max="14086" width="51" style="119" customWidth="1"/>
    <col min="14087" max="14095" width="0" style="119" hidden="1" customWidth="1"/>
    <col min="14096" max="14096" width="8.42578125" style="119" customWidth="1"/>
    <col min="14097" max="14097" width="10" style="119" customWidth="1"/>
    <col min="14098" max="14098" width="9.140625" style="119"/>
    <col min="14099" max="14099" width="9.140625" style="119" customWidth="1"/>
    <col min="14100" max="14101" width="9.28515625" style="119" customWidth="1"/>
    <col min="14102" max="14340" width="9.140625" style="119"/>
    <col min="14341" max="14341" width="9.7109375" style="119" customWidth="1"/>
    <col min="14342" max="14342" width="51" style="119" customWidth="1"/>
    <col min="14343" max="14351" width="0" style="119" hidden="1" customWidth="1"/>
    <col min="14352" max="14352" width="8.42578125" style="119" customWidth="1"/>
    <col min="14353" max="14353" width="10" style="119" customWidth="1"/>
    <col min="14354" max="14354" width="9.140625" style="119"/>
    <col min="14355" max="14355" width="9.140625" style="119" customWidth="1"/>
    <col min="14356" max="14357" width="9.28515625" style="119" customWidth="1"/>
    <col min="14358" max="14596" width="9.140625" style="119"/>
    <col min="14597" max="14597" width="9.7109375" style="119" customWidth="1"/>
    <col min="14598" max="14598" width="51" style="119" customWidth="1"/>
    <col min="14599" max="14607" width="0" style="119" hidden="1" customWidth="1"/>
    <col min="14608" max="14608" width="8.42578125" style="119" customWidth="1"/>
    <col min="14609" max="14609" width="10" style="119" customWidth="1"/>
    <col min="14610" max="14610" width="9.140625" style="119"/>
    <col min="14611" max="14611" width="9.140625" style="119" customWidth="1"/>
    <col min="14612" max="14613" width="9.28515625" style="119" customWidth="1"/>
    <col min="14614" max="14852" width="9.140625" style="119"/>
    <col min="14853" max="14853" width="9.7109375" style="119" customWidth="1"/>
    <col min="14854" max="14854" width="51" style="119" customWidth="1"/>
    <col min="14855" max="14863" width="0" style="119" hidden="1" customWidth="1"/>
    <col min="14864" max="14864" width="8.42578125" style="119" customWidth="1"/>
    <col min="14865" max="14865" width="10" style="119" customWidth="1"/>
    <col min="14866" max="14866" width="9.140625" style="119"/>
    <col min="14867" max="14867" width="9.140625" style="119" customWidth="1"/>
    <col min="14868" max="14869" width="9.28515625" style="119" customWidth="1"/>
    <col min="14870" max="15108" width="9.140625" style="119"/>
    <col min="15109" max="15109" width="9.7109375" style="119" customWidth="1"/>
    <col min="15110" max="15110" width="51" style="119" customWidth="1"/>
    <col min="15111" max="15119" width="0" style="119" hidden="1" customWidth="1"/>
    <col min="15120" max="15120" width="8.42578125" style="119" customWidth="1"/>
    <col min="15121" max="15121" width="10" style="119" customWidth="1"/>
    <col min="15122" max="15122" width="9.140625" style="119"/>
    <col min="15123" max="15123" width="9.140625" style="119" customWidth="1"/>
    <col min="15124" max="15125" width="9.28515625" style="119" customWidth="1"/>
    <col min="15126" max="15364" width="9.140625" style="119"/>
    <col min="15365" max="15365" width="9.7109375" style="119" customWidth="1"/>
    <col min="15366" max="15366" width="51" style="119" customWidth="1"/>
    <col min="15367" max="15375" width="0" style="119" hidden="1" customWidth="1"/>
    <col min="15376" max="15376" width="8.42578125" style="119" customWidth="1"/>
    <col min="15377" max="15377" width="10" style="119" customWidth="1"/>
    <col min="15378" max="15378" width="9.140625" style="119"/>
    <col min="15379" max="15379" width="9.140625" style="119" customWidth="1"/>
    <col min="15380" max="15381" width="9.28515625" style="119" customWidth="1"/>
    <col min="15382" max="15620" width="9.140625" style="119"/>
    <col min="15621" max="15621" width="9.7109375" style="119" customWidth="1"/>
    <col min="15622" max="15622" width="51" style="119" customWidth="1"/>
    <col min="15623" max="15631" width="0" style="119" hidden="1" customWidth="1"/>
    <col min="15632" max="15632" width="8.42578125" style="119" customWidth="1"/>
    <col min="15633" max="15633" width="10" style="119" customWidth="1"/>
    <col min="15634" max="15634" width="9.140625" style="119"/>
    <col min="15635" max="15635" width="9.140625" style="119" customWidth="1"/>
    <col min="15636" max="15637" width="9.28515625" style="119" customWidth="1"/>
    <col min="15638" max="15876" width="9.140625" style="119"/>
    <col min="15877" max="15877" width="9.7109375" style="119" customWidth="1"/>
    <col min="15878" max="15878" width="51" style="119" customWidth="1"/>
    <col min="15879" max="15887" width="0" style="119" hidden="1" customWidth="1"/>
    <col min="15888" max="15888" width="8.42578125" style="119" customWidth="1"/>
    <col min="15889" max="15889" width="10" style="119" customWidth="1"/>
    <col min="15890" max="15890" width="9.140625" style="119"/>
    <col min="15891" max="15891" width="9.140625" style="119" customWidth="1"/>
    <col min="15892" max="15893" width="9.28515625" style="119" customWidth="1"/>
    <col min="15894" max="16132" width="9.140625" style="119"/>
    <col min="16133" max="16133" width="9.7109375" style="119" customWidth="1"/>
    <col min="16134" max="16134" width="51" style="119" customWidth="1"/>
    <col min="16135" max="16143" width="0" style="119" hidden="1" customWidth="1"/>
    <col min="16144" max="16144" width="8.42578125" style="119" customWidth="1"/>
    <col min="16145" max="16145" width="10" style="119" customWidth="1"/>
    <col min="16146" max="16146" width="9.140625" style="119"/>
    <col min="16147" max="16147" width="9.140625" style="119" customWidth="1"/>
    <col min="16148" max="16149" width="9.28515625" style="119" customWidth="1"/>
    <col min="16150" max="16384" width="9.140625" style="119"/>
  </cols>
  <sheetData>
    <row r="2" spans="2:24" ht="18">
      <c r="B2" s="792" t="s">
        <v>154</v>
      </c>
      <c r="C2" s="792"/>
      <c r="D2" s="792"/>
      <c r="E2" s="792"/>
      <c r="F2" s="792"/>
      <c r="G2" s="792"/>
      <c r="H2" s="792"/>
      <c r="I2" s="792"/>
      <c r="J2" s="792"/>
      <c r="K2" s="792"/>
      <c r="L2" s="792"/>
      <c r="M2" s="792"/>
      <c r="N2" s="792"/>
      <c r="O2" s="792"/>
      <c r="P2" s="792"/>
      <c r="Q2" s="792"/>
      <c r="R2" s="792"/>
      <c r="S2" s="792"/>
      <c r="T2" s="792"/>
      <c r="U2" s="792"/>
    </row>
    <row r="3" spans="2:24" ht="18" customHeight="1">
      <c r="B3" s="793" t="s">
        <v>155</v>
      </c>
      <c r="C3" s="793"/>
      <c r="D3" s="793"/>
      <c r="E3" s="793"/>
      <c r="F3" s="793"/>
      <c r="G3" s="793"/>
      <c r="H3" s="793"/>
      <c r="I3" s="793"/>
      <c r="J3" s="793"/>
      <c r="K3" s="793"/>
      <c r="L3" s="793"/>
      <c r="M3" s="793"/>
      <c r="N3" s="793"/>
      <c r="O3" s="793"/>
      <c r="P3" s="793"/>
      <c r="Q3" s="793"/>
      <c r="R3" s="793"/>
      <c r="S3" s="793"/>
      <c r="T3" s="793"/>
      <c r="U3" s="793"/>
    </row>
    <row r="4" spans="2:24" ht="16.5" thickBot="1">
      <c r="B4" s="794" t="s">
        <v>156</v>
      </c>
      <c r="C4" s="794"/>
      <c r="D4" s="794"/>
      <c r="E4" s="794"/>
      <c r="F4" s="794"/>
      <c r="G4" s="794"/>
      <c r="H4" s="794"/>
      <c r="I4" s="794"/>
      <c r="J4" s="794"/>
      <c r="K4" s="794"/>
      <c r="L4" s="794"/>
      <c r="M4" s="794"/>
      <c r="N4" s="794"/>
      <c r="O4" s="794"/>
      <c r="P4" s="794"/>
      <c r="Q4" s="794"/>
      <c r="R4" s="794"/>
      <c r="S4" s="794"/>
      <c r="T4" s="794"/>
      <c r="U4" s="794"/>
    </row>
    <row r="5" spans="2:24" s="125" customFormat="1" ht="28.5" customHeight="1">
      <c r="B5" s="120" t="s">
        <v>157</v>
      </c>
      <c r="C5" s="121">
        <v>2001</v>
      </c>
      <c r="D5" s="121">
        <v>2002</v>
      </c>
      <c r="E5" s="121">
        <v>2003</v>
      </c>
      <c r="F5" s="121">
        <v>2004</v>
      </c>
      <c r="G5" s="121">
        <v>2005</v>
      </c>
      <c r="H5" s="121">
        <v>2006</v>
      </c>
      <c r="I5" s="121">
        <v>2007</v>
      </c>
      <c r="J5" s="121">
        <v>2008</v>
      </c>
      <c r="K5" s="121">
        <v>2009</v>
      </c>
      <c r="L5" s="121">
        <v>2010</v>
      </c>
      <c r="M5" s="122">
        <v>2011</v>
      </c>
      <c r="N5" s="121">
        <v>2012</v>
      </c>
      <c r="O5" s="123">
        <v>2013</v>
      </c>
      <c r="P5" s="121">
        <v>2014</v>
      </c>
      <c r="Q5" s="121">
        <v>2015</v>
      </c>
      <c r="R5" s="121">
        <v>2016</v>
      </c>
      <c r="S5" s="121">
        <v>2017</v>
      </c>
      <c r="T5" s="121">
        <v>2018</v>
      </c>
      <c r="U5" s="124" t="s">
        <v>773</v>
      </c>
      <c r="W5" s="119"/>
      <c r="X5" s="119"/>
    </row>
    <row r="6" spans="2:24" s="132" customFormat="1" ht="20.100000000000001" customHeight="1">
      <c r="B6" s="126" t="s">
        <v>158</v>
      </c>
      <c r="C6" s="127">
        <f>+C7</f>
        <v>15.5</v>
      </c>
      <c r="D6" s="127">
        <f>+D7</f>
        <v>17.36</v>
      </c>
      <c r="E6" s="127">
        <v>16.82</v>
      </c>
      <c r="F6" s="128">
        <f t="shared" ref="F6:U6" si="0">+F7</f>
        <v>18.899999999999999</v>
      </c>
      <c r="G6" s="128">
        <f t="shared" si="0"/>
        <v>19.399999999999999</v>
      </c>
      <c r="H6" s="128">
        <f t="shared" si="0"/>
        <v>22.4</v>
      </c>
      <c r="I6" s="128">
        <f t="shared" si="0"/>
        <v>26.7</v>
      </c>
      <c r="J6" s="128">
        <f t="shared" si="0"/>
        <v>30.7</v>
      </c>
      <c r="K6" s="128">
        <f t="shared" si="0"/>
        <v>37.6</v>
      </c>
      <c r="L6" s="128">
        <f t="shared" si="0"/>
        <v>45.9</v>
      </c>
      <c r="M6" s="129">
        <f t="shared" si="0"/>
        <v>52.9</v>
      </c>
      <c r="N6" s="128">
        <f t="shared" si="0"/>
        <v>54.7</v>
      </c>
      <c r="O6" s="130">
        <f t="shared" si="0"/>
        <v>57.5</v>
      </c>
      <c r="P6" s="128">
        <f t="shared" si="0"/>
        <v>57.2</v>
      </c>
      <c r="Q6" s="128">
        <f t="shared" si="0"/>
        <v>56.5</v>
      </c>
      <c r="R6" s="128">
        <f t="shared" si="0"/>
        <v>57.1</v>
      </c>
      <c r="S6" s="128">
        <f t="shared" si="0"/>
        <v>54.6</v>
      </c>
      <c r="T6" s="128">
        <f t="shared" si="0"/>
        <v>58.24</v>
      </c>
      <c r="U6" s="131">
        <f t="shared" si="0"/>
        <v>27.5</v>
      </c>
      <c r="W6" s="119"/>
      <c r="X6" s="119"/>
    </row>
    <row r="7" spans="2:24" ht="15" customHeight="1">
      <c r="B7" s="133" t="s">
        <v>158</v>
      </c>
      <c r="C7" s="134">
        <v>15.5</v>
      </c>
      <c r="D7" s="134">
        <v>17.36</v>
      </c>
      <c r="E7" s="134">
        <v>16.82</v>
      </c>
      <c r="F7" s="135">
        <v>18.899999999999999</v>
      </c>
      <c r="G7" s="135">
        <v>19.399999999999999</v>
      </c>
      <c r="H7" s="135">
        <v>22.4</v>
      </c>
      <c r="I7" s="135">
        <v>26.7</v>
      </c>
      <c r="J7" s="135">
        <v>30.7</v>
      </c>
      <c r="K7" s="135">
        <v>37.6</v>
      </c>
      <c r="L7" s="135">
        <v>45.9</v>
      </c>
      <c r="M7" s="136">
        <v>52.9</v>
      </c>
      <c r="N7" s="137">
        <v>54.7</v>
      </c>
      <c r="O7" s="138">
        <v>57.5</v>
      </c>
      <c r="P7" s="137">
        <v>57.2</v>
      </c>
      <c r="Q7" s="137">
        <v>56.5</v>
      </c>
      <c r="R7" s="137">
        <v>57.1</v>
      </c>
      <c r="S7" s="137">
        <v>54.6</v>
      </c>
      <c r="T7" s="137">
        <v>58.24</v>
      </c>
      <c r="U7" s="677">
        <v>27.5</v>
      </c>
    </row>
    <row r="8" spans="2:24" s="139" customFormat="1" ht="20.100000000000001" customHeight="1">
      <c r="B8" s="126" t="s">
        <v>159</v>
      </c>
      <c r="C8" s="127">
        <f t="shared" ref="C8:U8" si="1">+C9</f>
        <v>105.9</v>
      </c>
      <c r="D8" s="127">
        <f t="shared" si="1"/>
        <v>109.93</v>
      </c>
      <c r="E8" s="127">
        <f t="shared" si="1"/>
        <v>109.41</v>
      </c>
      <c r="F8" s="128">
        <f t="shared" si="1"/>
        <v>119.8</v>
      </c>
      <c r="G8" s="128">
        <f t="shared" si="1"/>
        <v>133.69999999999999</v>
      </c>
      <c r="H8" s="128">
        <f t="shared" si="1"/>
        <v>155.19999999999999</v>
      </c>
      <c r="I8" s="128">
        <f t="shared" si="1"/>
        <v>166.3</v>
      </c>
      <c r="J8" s="128">
        <f t="shared" si="1"/>
        <v>178.5</v>
      </c>
      <c r="K8" s="128">
        <f t="shared" si="1"/>
        <v>177.4</v>
      </c>
      <c r="L8" s="128">
        <f t="shared" si="1"/>
        <v>180.5</v>
      </c>
      <c r="M8" s="129">
        <f t="shared" si="1"/>
        <v>195.2</v>
      </c>
      <c r="N8" s="128">
        <f t="shared" si="1"/>
        <v>208.1</v>
      </c>
      <c r="O8" s="130">
        <f t="shared" si="1"/>
        <v>216.4</v>
      </c>
      <c r="P8" s="128">
        <f t="shared" si="1"/>
        <v>217.2</v>
      </c>
      <c r="Q8" s="128">
        <f t="shared" si="1"/>
        <v>239.7</v>
      </c>
      <c r="R8" s="128">
        <f t="shared" si="1"/>
        <v>245.3</v>
      </c>
      <c r="S8" s="128">
        <f t="shared" si="1"/>
        <v>246.9</v>
      </c>
      <c r="T8" s="128">
        <f t="shared" si="1"/>
        <v>248.85</v>
      </c>
      <c r="U8" s="131">
        <f t="shared" si="1"/>
        <v>108.5</v>
      </c>
      <c r="W8" s="119"/>
      <c r="X8" s="119"/>
    </row>
    <row r="9" spans="2:24" ht="15" customHeight="1">
      <c r="B9" s="133" t="s">
        <v>159</v>
      </c>
      <c r="C9" s="134">
        <v>105.9</v>
      </c>
      <c r="D9" s="134">
        <v>109.93</v>
      </c>
      <c r="E9" s="134">
        <v>109.41</v>
      </c>
      <c r="F9" s="135">
        <v>119.8</v>
      </c>
      <c r="G9" s="135">
        <v>133.69999999999999</v>
      </c>
      <c r="H9" s="135">
        <v>155.19999999999999</v>
      </c>
      <c r="I9" s="135">
        <v>166.3</v>
      </c>
      <c r="J9" s="135">
        <v>178.5</v>
      </c>
      <c r="K9" s="135">
        <v>177.4</v>
      </c>
      <c r="L9" s="135">
        <v>180.5</v>
      </c>
      <c r="M9" s="136">
        <v>195.2</v>
      </c>
      <c r="N9" s="137">
        <v>208.1</v>
      </c>
      <c r="O9" s="138">
        <v>216.4</v>
      </c>
      <c r="P9" s="137">
        <v>217.2</v>
      </c>
      <c r="Q9" s="137">
        <v>239.7</v>
      </c>
      <c r="R9" s="137">
        <v>245.3</v>
      </c>
      <c r="S9" s="137">
        <v>246.9</v>
      </c>
      <c r="T9" s="137">
        <v>248.85</v>
      </c>
      <c r="U9" s="677">
        <v>108.5</v>
      </c>
    </row>
    <row r="10" spans="2:24" ht="20.100000000000001" customHeight="1">
      <c r="B10" s="126" t="s">
        <v>160</v>
      </c>
      <c r="C10" s="127">
        <f t="shared" ref="C10:N10" si="2">SUM(C11:C25)</f>
        <v>1444.7899999999997</v>
      </c>
      <c r="D10" s="127">
        <f t="shared" si="2"/>
        <v>1490.5100000000002</v>
      </c>
      <c r="E10" s="127">
        <f t="shared" si="2"/>
        <v>1384.9299999999998</v>
      </c>
      <c r="F10" s="128">
        <f t="shared" si="2"/>
        <v>1413.5</v>
      </c>
      <c r="G10" s="128">
        <f t="shared" si="2"/>
        <v>1636.6000000000001</v>
      </c>
      <c r="H10" s="128">
        <f t="shared" si="2"/>
        <v>1793.4</v>
      </c>
      <c r="I10" s="128">
        <f t="shared" si="2"/>
        <v>1850.7</v>
      </c>
      <c r="J10" s="128">
        <f t="shared" si="2"/>
        <v>2087.2000000000003</v>
      </c>
      <c r="K10" s="128">
        <f t="shared" si="2"/>
        <v>2203.7999999999997</v>
      </c>
      <c r="L10" s="128">
        <f t="shared" si="2"/>
        <v>2291.7999999999997</v>
      </c>
      <c r="M10" s="129">
        <f t="shared" si="2"/>
        <v>2472.6000000000004</v>
      </c>
      <c r="N10" s="128">
        <f t="shared" si="2"/>
        <v>2618.6</v>
      </c>
      <c r="O10" s="130">
        <f t="shared" ref="O10:U10" si="3">SUM(O11:O25)</f>
        <v>2810.1000000000004</v>
      </c>
      <c r="P10" s="128">
        <f t="shared" si="3"/>
        <v>2700.5999999999995</v>
      </c>
      <c r="Q10" s="128">
        <f t="shared" si="3"/>
        <v>2875.3</v>
      </c>
      <c r="R10" s="128">
        <f t="shared" si="3"/>
        <v>2854.6</v>
      </c>
      <c r="S10" s="128">
        <f t="shared" si="3"/>
        <v>3031.6000000000004</v>
      </c>
      <c r="T10" s="128">
        <f t="shared" ref="T10" si="4">SUM(T11:T25)</f>
        <v>2897.81</v>
      </c>
      <c r="U10" s="131">
        <f t="shared" si="3"/>
        <v>1519.8</v>
      </c>
    </row>
    <row r="11" spans="2:24" ht="15" customHeight="1">
      <c r="B11" s="133" t="s">
        <v>161</v>
      </c>
      <c r="C11" s="134">
        <v>75.59</v>
      </c>
      <c r="D11" s="134">
        <v>61.06</v>
      </c>
      <c r="E11" s="134">
        <v>64.84</v>
      </c>
      <c r="F11" s="135">
        <v>72.2</v>
      </c>
      <c r="G11" s="135">
        <v>91.7</v>
      </c>
      <c r="H11" s="135">
        <v>104.8</v>
      </c>
      <c r="I11" s="135">
        <v>104.3</v>
      </c>
      <c r="J11" s="135">
        <v>105.9</v>
      </c>
      <c r="K11" s="135">
        <v>104</v>
      </c>
      <c r="L11" s="135">
        <v>126.9</v>
      </c>
      <c r="M11" s="136">
        <v>138.30000000000001</v>
      </c>
      <c r="N11" s="135">
        <v>153.69999999999999</v>
      </c>
      <c r="O11" s="140">
        <v>160.80000000000001</v>
      </c>
      <c r="P11" s="135">
        <v>121.6</v>
      </c>
      <c r="Q11" s="135">
        <v>134.6</v>
      </c>
      <c r="R11" s="135">
        <v>119.3</v>
      </c>
      <c r="S11" s="135">
        <v>128.5</v>
      </c>
      <c r="T11" s="135">
        <v>122.98</v>
      </c>
      <c r="U11" s="141">
        <v>43.5</v>
      </c>
    </row>
    <row r="12" spans="2:24" s="142" customFormat="1" ht="15" customHeight="1">
      <c r="B12" s="133" t="s">
        <v>162</v>
      </c>
      <c r="C12" s="134">
        <v>39.1</v>
      </c>
      <c r="D12" s="134">
        <v>53.6</v>
      </c>
      <c r="E12" s="134">
        <v>42.1</v>
      </c>
      <c r="F12" s="135">
        <v>41.3</v>
      </c>
      <c r="G12" s="135">
        <v>49.4</v>
      </c>
      <c r="H12" s="135">
        <v>55</v>
      </c>
      <c r="I12" s="135">
        <v>52.9</v>
      </c>
      <c r="J12" s="135">
        <v>55</v>
      </c>
      <c r="K12" s="135">
        <v>61.3</v>
      </c>
      <c r="L12" s="135">
        <v>60.2</v>
      </c>
      <c r="M12" s="136">
        <v>60.8</v>
      </c>
      <c r="N12" s="135">
        <v>68.400000000000006</v>
      </c>
      <c r="O12" s="140">
        <v>72.8</v>
      </c>
      <c r="P12" s="135">
        <v>81.5</v>
      </c>
      <c r="Q12" s="135">
        <v>89</v>
      </c>
      <c r="R12" s="135">
        <v>96.5</v>
      </c>
      <c r="S12" s="135">
        <v>100.9</v>
      </c>
      <c r="T12" s="135">
        <v>97.53</v>
      </c>
      <c r="U12" s="141">
        <v>46.1</v>
      </c>
      <c r="W12" s="119"/>
      <c r="X12" s="119"/>
    </row>
    <row r="13" spans="2:24" ht="15" customHeight="1">
      <c r="B13" s="133" t="s">
        <v>163</v>
      </c>
      <c r="C13" s="134">
        <v>23.42</v>
      </c>
      <c r="D13" s="134">
        <v>23.74</v>
      </c>
      <c r="E13" s="134">
        <v>22.44</v>
      </c>
      <c r="F13" s="135">
        <v>25.8</v>
      </c>
      <c r="G13" s="135">
        <v>35.700000000000003</v>
      </c>
      <c r="H13" s="135">
        <v>34.799999999999997</v>
      </c>
      <c r="I13" s="135">
        <v>38.1</v>
      </c>
      <c r="J13" s="135">
        <v>44.5</v>
      </c>
      <c r="K13" s="135">
        <v>38.4</v>
      </c>
      <c r="L13" s="135">
        <v>38.799999999999997</v>
      </c>
      <c r="M13" s="136">
        <v>40.200000000000003</v>
      </c>
      <c r="N13" s="135">
        <v>39.5</v>
      </c>
      <c r="O13" s="140">
        <v>44.5</v>
      </c>
      <c r="P13" s="135">
        <v>41.8</v>
      </c>
      <c r="Q13" s="135">
        <v>43.8</v>
      </c>
      <c r="R13" s="135">
        <v>46</v>
      </c>
      <c r="S13" s="135">
        <v>42.4</v>
      </c>
      <c r="T13" s="135">
        <v>45.73</v>
      </c>
      <c r="U13" s="141">
        <v>25.9</v>
      </c>
    </row>
    <row r="14" spans="2:24" ht="15" customHeight="1">
      <c r="B14" s="133" t="s">
        <v>164</v>
      </c>
      <c r="C14" s="134">
        <v>130.88</v>
      </c>
      <c r="D14" s="134">
        <v>140.54</v>
      </c>
      <c r="E14" s="134">
        <v>106.59</v>
      </c>
      <c r="F14" s="135">
        <v>106.6</v>
      </c>
      <c r="G14" s="135">
        <v>107.2</v>
      </c>
      <c r="H14" s="135">
        <v>113.8</v>
      </c>
      <c r="I14" s="135">
        <v>120.4</v>
      </c>
      <c r="J14" s="135">
        <v>124.9</v>
      </c>
      <c r="K14" s="135">
        <v>135.19999999999999</v>
      </c>
      <c r="L14" s="135">
        <v>146.6</v>
      </c>
      <c r="M14" s="136">
        <v>163.19999999999999</v>
      </c>
      <c r="N14" s="135">
        <v>160.6</v>
      </c>
      <c r="O14" s="140">
        <v>163.30000000000001</v>
      </c>
      <c r="P14" s="135">
        <v>155.4</v>
      </c>
      <c r="Q14" s="135">
        <v>161.1</v>
      </c>
      <c r="R14" s="135">
        <v>153.9</v>
      </c>
      <c r="S14" s="135">
        <v>164.2</v>
      </c>
      <c r="T14" s="135">
        <v>173.27</v>
      </c>
      <c r="U14" s="141">
        <v>90.2</v>
      </c>
    </row>
    <row r="15" spans="2:24" ht="15" customHeight="1">
      <c r="B15" s="133" t="s">
        <v>165</v>
      </c>
      <c r="C15" s="134">
        <v>199.5</v>
      </c>
      <c r="D15" s="134">
        <v>190</v>
      </c>
      <c r="E15" s="134">
        <v>186.45</v>
      </c>
      <c r="F15" s="135">
        <v>189.7</v>
      </c>
      <c r="G15" s="135">
        <v>209.3</v>
      </c>
      <c r="H15" s="135">
        <v>221.5</v>
      </c>
      <c r="I15" s="135">
        <v>42.1</v>
      </c>
      <c r="J15" s="135">
        <v>14.1</v>
      </c>
      <c r="K15" s="135">
        <v>15</v>
      </c>
      <c r="L15" s="135">
        <v>21.2</v>
      </c>
      <c r="M15" s="136">
        <v>19.8</v>
      </c>
      <c r="N15" s="135">
        <v>19.2</v>
      </c>
      <c r="O15" s="140">
        <v>18.3</v>
      </c>
      <c r="P15" s="135">
        <v>19.8</v>
      </c>
      <c r="Q15" s="135">
        <v>21.4</v>
      </c>
      <c r="R15" s="135">
        <v>22.6</v>
      </c>
      <c r="S15" s="135">
        <v>26.9</v>
      </c>
      <c r="T15" s="135">
        <v>38.36</v>
      </c>
      <c r="U15" s="141">
        <v>32.700000000000003</v>
      </c>
    </row>
    <row r="16" spans="2:24" ht="15" customHeight="1">
      <c r="B16" s="133" t="s">
        <v>166</v>
      </c>
      <c r="C16" s="134"/>
      <c r="D16" s="134"/>
      <c r="E16" s="134"/>
      <c r="F16" s="135"/>
      <c r="G16" s="135"/>
      <c r="H16" s="135"/>
      <c r="I16" s="135">
        <v>205.2</v>
      </c>
      <c r="J16" s="135">
        <v>313.89999999999998</v>
      </c>
      <c r="K16" s="135">
        <v>281.60000000000002</v>
      </c>
      <c r="L16" s="135">
        <v>328.6</v>
      </c>
      <c r="M16" s="136">
        <v>335.6</v>
      </c>
      <c r="N16" s="135">
        <v>336.6</v>
      </c>
      <c r="O16" s="140">
        <v>365.1</v>
      </c>
      <c r="P16" s="135">
        <v>357.9</v>
      </c>
      <c r="Q16" s="135">
        <v>438.6</v>
      </c>
      <c r="R16" s="135">
        <v>435.8</v>
      </c>
      <c r="S16" s="135">
        <v>461.8</v>
      </c>
      <c r="T16" s="135">
        <v>435.21</v>
      </c>
      <c r="U16" s="141">
        <v>214.8</v>
      </c>
    </row>
    <row r="17" spans="2:24" ht="15" customHeight="1">
      <c r="B17" s="133" t="s">
        <v>826</v>
      </c>
      <c r="C17" s="134">
        <v>472.32</v>
      </c>
      <c r="D17" s="134">
        <v>468.78</v>
      </c>
      <c r="E17" s="134">
        <v>466.33</v>
      </c>
      <c r="F17" s="135">
        <v>463.6</v>
      </c>
      <c r="G17" s="135">
        <v>501.3</v>
      </c>
      <c r="H17" s="135">
        <v>526</v>
      </c>
      <c r="I17" s="135">
        <v>575.20000000000005</v>
      </c>
      <c r="J17" s="135">
        <v>632.20000000000005</v>
      </c>
      <c r="K17" s="135">
        <v>756.2</v>
      </c>
      <c r="L17" s="135">
        <v>687.8</v>
      </c>
      <c r="M17" s="136">
        <v>764</v>
      </c>
      <c r="N17" s="135">
        <v>823.2</v>
      </c>
      <c r="O17" s="140">
        <v>859.1</v>
      </c>
      <c r="P17" s="135">
        <v>874.9</v>
      </c>
      <c r="Q17" s="135">
        <v>926.6</v>
      </c>
      <c r="R17" s="135">
        <v>943.1</v>
      </c>
      <c r="S17" s="135">
        <v>955.4</v>
      </c>
      <c r="T17" s="135">
        <v>927.43</v>
      </c>
      <c r="U17" s="141">
        <v>521.5</v>
      </c>
    </row>
    <row r="18" spans="2:24" ht="15" customHeight="1">
      <c r="B18" s="133" t="s">
        <v>168</v>
      </c>
      <c r="C18" s="134">
        <v>209.85</v>
      </c>
      <c r="D18" s="134">
        <v>217.91</v>
      </c>
      <c r="E18" s="134">
        <v>226.05</v>
      </c>
      <c r="F18" s="135">
        <v>233.5</v>
      </c>
      <c r="G18" s="135">
        <v>273.89999999999998</v>
      </c>
      <c r="H18" s="135">
        <v>313.7</v>
      </c>
      <c r="I18" s="135">
        <v>343.3</v>
      </c>
      <c r="J18" s="135">
        <v>365.3</v>
      </c>
      <c r="K18" s="135">
        <v>422.4</v>
      </c>
      <c r="L18" s="135">
        <v>443</v>
      </c>
      <c r="M18" s="136">
        <v>471.7</v>
      </c>
      <c r="N18" s="135">
        <v>493.7</v>
      </c>
      <c r="O18" s="140">
        <v>579.29999999999995</v>
      </c>
      <c r="P18" s="135">
        <v>555</v>
      </c>
      <c r="Q18" s="135">
        <v>585.20000000000005</v>
      </c>
      <c r="R18" s="135">
        <v>612.1</v>
      </c>
      <c r="S18" s="135">
        <v>618.5</v>
      </c>
      <c r="T18" s="135">
        <v>607.09</v>
      </c>
      <c r="U18" s="141">
        <v>289.7</v>
      </c>
    </row>
    <row r="19" spans="2:24" ht="15" customHeight="1">
      <c r="B19" s="133" t="s">
        <v>169</v>
      </c>
      <c r="C19" s="134">
        <v>6.28</v>
      </c>
      <c r="D19" s="134">
        <v>6.24</v>
      </c>
      <c r="E19" s="134">
        <v>6.07</v>
      </c>
      <c r="F19" s="135">
        <v>7.2</v>
      </c>
      <c r="G19" s="135">
        <v>6.1</v>
      </c>
      <c r="H19" s="135">
        <v>7.7</v>
      </c>
      <c r="I19" s="135">
        <v>9.3000000000000007</v>
      </c>
      <c r="J19" s="135">
        <v>9.5</v>
      </c>
      <c r="K19" s="135">
        <v>10.199999999999999</v>
      </c>
      <c r="L19" s="135">
        <v>11.6</v>
      </c>
      <c r="M19" s="136">
        <v>12.8</v>
      </c>
      <c r="N19" s="135">
        <v>12.9</v>
      </c>
      <c r="O19" s="140">
        <v>14.3</v>
      </c>
      <c r="P19" s="135">
        <v>15.4</v>
      </c>
      <c r="Q19" s="135">
        <v>14.9</v>
      </c>
      <c r="R19" s="135">
        <v>13.2</v>
      </c>
      <c r="S19" s="135">
        <v>13.2</v>
      </c>
      <c r="T19" s="135">
        <v>14.64</v>
      </c>
      <c r="U19" s="141">
        <v>7.4</v>
      </c>
    </row>
    <row r="20" spans="2:24" ht="15" customHeight="1">
      <c r="B20" s="133" t="s">
        <v>730</v>
      </c>
      <c r="C20" s="134"/>
      <c r="D20" s="134"/>
      <c r="E20" s="134"/>
      <c r="F20" s="135"/>
      <c r="G20" s="135"/>
      <c r="H20" s="135"/>
      <c r="I20" s="135"/>
      <c r="J20" s="135"/>
      <c r="K20" s="135"/>
      <c r="L20" s="135"/>
      <c r="M20" s="136"/>
      <c r="N20" s="135"/>
      <c r="O20" s="140"/>
      <c r="P20" s="135"/>
      <c r="Q20" s="135"/>
      <c r="R20" s="135"/>
      <c r="S20" s="135"/>
      <c r="T20" s="135">
        <v>5.79</v>
      </c>
      <c r="U20" s="141">
        <v>9.1999999999999993</v>
      </c>
    </row>
    <row r="21" spans="2:24" ht="15" customHeight="1">
      <c r="B21" s="133" t="s">
        <v>170</v>
      </c>
      <c r="C21" s="134">
        <v>42.43</v>
      </c>
      <c r="D21" s="134">
        <v>46.31</v>
      </c>
      <c r="E21" s="134">
        <v>58.73</v>
      </c>
      <c r="F21" s="135">
        <v>80.8</v>
      </c>
      <c r="G21" s="135">
        <v>89.3</v>
      </c>
      <c r="H21" s="135">
        <v>115.5</v>
      </c>
      <c r="I21" s="135">
        <v>144.19999999999999</v>
      </c>
      <c r="J21" s="135">
        <v>150.9</v>
      </c>
      <c r="K21" s="135">
        <v>100.2</v>
      </c>
      <c r="L21" s="135">
        <v>128.30000000000001</v>
      </c>
      <c r="M21" s="136">
        <v>173.8</v>
      </c>
      <c r="N21" s="135">
        <v>173.1</v>
      </c>
      <c r="O21" s="140">
        <v>180.1</v>
      </c>
      <c r="P21" s="135">
        <v>144</v>
      </c>
      <c r="Q21" s="135">
        <v>109.4</v>
      </c>
      <c r="R21" s="135">
        <v>93.6</v>
      </c>
      <c r="S21" s="135">
        <v>148.80000000000001</v>
      </c>
      <c r="T21" s="135">
        <v>112.05</v>
      </c>
      <c r="U21" s="141">
        <v>69.599999999999994</v>
      </c>
    </row>
    <row r="22" spans="2:24" ht="15" customHeight="1">
      <c r="B22" s="133" t="s">
        <v>171</v>
      </c>
      <c r="C22" s="134">
        <v>39.57</v>
      </c>
      <c r="D22" s="134">
        <v>36.65</v>
      </c>
      <c r="E22" s="134">
        <v>31.86</v>
      </c>
      <c r="F22" s="135">
        <v>31.1</v>
      </c>
      <c r="G22" s="135">
        <v>36.4</v>
      </c>
      <c r="H22" s="135">
        <v>47.1</v>
      </c>
      <c r="I22" s="135">
        <v>48.9</v>
      </c>
      <c r="J22" s="135">
        <v>58.2</v>
      </c>
      <c r="K22" s="135">
        <v>55.6</v>
      </c>
      <c r="L22" s="135">
        <v>59.8</v>
      </c>
      <c r="M22" s="136">
        <v>58.3</v>
      </c>
      <c r="N22" s="135">
        <v>70</v>
      </c>
      <c r="O22" s="140">
        <v>65.8</v>
      </c>
      <c r="P22" s="135">
        <v>81.7</v>
      </c>
      <c r="Q22" s="135">
        <v>91.3</v>
      </c>
      <c r="R22" s="135">
        <v>77.400000000000006</v>
      </c>
      <c r="S22" s="135">
        <v>76.400000000000006</v>
      </c>
      <c r="T22" s="135">
        <v>74.209999999999994</v>
      </c>
      <c r="U22" s="141">
        <v>36.6</v>
      </c>
    </row>
    <row r="23" spans="2:24" ht="30" customHeight="1">
      <c r="B23" s="143" t="s">
        <v>172</v>
      </c>
      <c r="C23" s="144">
        <v>201.76</v>
      </c>
      <c r="D23" s="144">
        <v>240.23</v>
      </c>
      <c r="E23" s="144">
        <v>167.72</v>
      </c>
      <c r="F23" s="145">
        <v>156.19999999999999</v>
      </c>
      <c r="G23" s="145">
        <v>210.4</v>
      </c>
      <c r="H23" s="145">
        <v>215.6</v>
      </c>
      <c r="I23" s="145">
        <v>133.80000000000001</v>
      </c>
      <c r="J23" s="145">
        <v>189.8</v>
      </c>
      <c r="K23" s="145">
        <v>201.9</v>
      </c>
      <c r="L23" s="145">
        <v>208</v>
      </c>
      <c r="M23" s="146">
        <v>204.5</v>
      </c>
      <c r="N23" s="145">
        <v>239.7</v>
      </c>
      <c r="O23" s="147">
        <v>255.9</v>
      </c>
      <c r="P23" s="145">
        <v>219.7</v>
      </c>
      <c r="Q23" s="145">
        <v>229.1</v>
      </c>
      <c r="R23" s="145">
        <v>199.6</v>
      </c>
      <c r="S23" s="145">
        <v>253.8</v>
      </c>
      <c r="T23" s="145">
        <v>214.25</v>
      </c>
      <c r="U23" s="678">
        <v>117.3</v>
      </c>
    </row>
    <row r="24" spans="2:24" ht="21.75" customHeight="1">
      <c r="B24" s="143" t="s">
        <v>173</v>
      </c>
      <c r="C24" s="144">
        <v>4.09</v>
      </c>
      <c r="D24" s="144">
        <v>5.45</v>
      </c>
      <c r="E24" s="144">
        <v>5.75</v>
      </c>
      <c r="F24" s="145">
        <v>5.5</v>
      </c>
      <c r="G24" s="145">
        <v>22</v>
      </c>
      <c r="H24" s="145">
        <v>25</v>
      </c>
      <c r="I24" s="145">
        <v>19.399999999999999</v>
      </c>
      <c r="J24" s="145">
        <v>8.8000000000000007</v>
      </c>
      <c r="K24" s="145">
        <v>9.1</v>
      </c>
      <c r="L24" s="145">
        <v>18</v>
      </c>
      <c r="M24" s="146">
        <v>15.9</v>
      </c>
      <c r="N24" s="145">
        <v>12.1</v>
      </c>
      <c r="O24" s="147">
        <v>15.5</v>
      </c>
      <c r="P24" s="145">
        <v>13.2</v>
      </c>
      <c r="Q24" s="145">
        <v>14.1</v>
      </c>
      <c r="R24" s="145">
        <v>24.2</v>
      </c>
      <c r="S24" s="145">
        <v>21</v>
      </c>
      <c r="T24" s="145">
        <v>10.97</v>
      </c>
      <c r="U24" s="678">
        <v>5.5</v>
      </c>
    </row>
    <row r="25" spans="2:24" ht="15" customHeight="1">
      <c r="B25" s="133" t="s">
        <v>174</v>
      </c>
      <c r="C25" s="134"/>
      <c r="D25" s="134"/>
      <c r="E25" s="134"/>
      <c r="F25" s="135"/>
      <c r="G25" s="135">
        <v>3.9</v>
      </c>
      <c r="H25" s="135">
        <v>12.9</v>
      </c>
      <c r="I25" s="135">
        <v>13.6</v>
      </c>
      <c r="J25" s="135">
        <v>14.2</v>
      </c>
      <c r="K25" s="135">
        <v>12.7</v>
      </c>
      <c r="L25" s="135">
        <v>13</v>
      </c>
      <c r="M25" s="136">
        <v>13.7</v>
      </c>
      <c r="N25" s="135">
        <v>15.9</v>
      </c>
      <c r="O25" s="140">
        <v>15.3</v>
      </c>
      <c r="P25" s="135">
        <v>18.7</v>
      </c>
      <c r="Q25" s="135">
        <v>16.2</v>
      </c>
      <c r="R25" s="135">
        <v>17.3</v>
      </c>
      <c r="S25" s="135">
        <v>19.8</v>
      </c>
      <c r="T25" s="135">
        <v>18.3</v>
      </c>
      <c r="U25" s="141">
        <v>9.8000000000000007</v>
      </c>
    </row>
    <row r="26" spans="2:24" s="139" customFormat="1" ht="20.100000000000001" customHeight="1">
      <c r="B26" s="126" t="s">
        <v>175</v>
      </c>
      <c r="C26" s="127">
        <f t="shared" ref="C26:N26" si="5">SUM(C27:C29)</f>
        <v>34.230000000000004</v>
      </c>
      <c r="D26" s="127">
        <f t="shared" si="5"/>
        <v>35.21</v>
      </c>
      <c r="E26" s="127">
        <f t="shared" si="5"/>
        <v>35.54</v>
      </c>
      <c r="F26" s="128">
        <f t="shared" si="5"/>
        <v>36.199999999999996</v>
      </c>
      <c r="G26" s="128">
        <f t="shared" si="5"/>
        <v>40.300000000000004</v>
      </c>
      <c r="H26" s="128">
        <f t="shared" si="5"/>
        <v>42.099999999999994</v>
      </c>
      <c r="I26" s="128">
        <f t="shared" si="5"/>
        <v>51.600000000000009</v>
      </c>
      <c r="J26" s="128">
        <f t="shared" si="5"/>
        <v>61.1</v>
      </c>
      <c r="K26" s="128">
        <f t="shared" si="5"/>
        <v>67.099999999999994</v>
      </c>
      <c r="L26" s="128">
        <f t="shared" si="5"/>
        <v>60.900000000000006</v>
      </c>
      <c r="M26" s="129">
        <f t="shared" si="5"/>
        <v>65.3</v>
      </c>
      <c r="N26" s="128">
        <f t="shared" si="5"/>
        <v>63.599999999999994</v>
      </c>
      <c r="O26" s="130">
        <f t="shared" ref="O26:U26" si="6">SUM(O27:O29)</f>
        <v>69.5</v>
      </c>
      <c r="P26" s="128">
        <f t="shared" si="6"/>
        <v>78.399999999999991</v>
      </c>
      <c r="Q26" s="128">
        <f t="shared" si="6"/>
        <v>83.3</v>
      </c>
      <c r="R26" s="128">
        <f t="shared" si="6"/>
        <v>82.899999999999991</v>
      </c>
      <c r="S26" s="128">
        <f t="shared" si="6"/>
        <v>99.5</v>
      </c>
      <c r="T26" s="128">
        <f t="shared" ref="T26" si="7">SUM(T27:T29)</f>
        <v>98.88</v>
      </c>
      <c r="U26" s="131">
        <f t="shared" si="6"/>
        <v>44.5</v>
      </c>
      <c r="W26" s="119"/>
      <c r="X26" s="119"/>
    </row>
    <row r="27" spans="2:24" ht="15" customHeight="1">
      <c r="B27" s="133" t="s">
        <v>176</v>
      </c>
      <c r="C27" s="134">
        <v>18.48</v>
      </c>
      <c r="D27" s="134">
        <v>19.12</v>
      </c>
      <c r="E27" s="134">
        <v>19.489999999999998</v>
      </c>
      <c r="F27" s="135">
        <v>19.600000000000001</v>
      </c>
      <c r="G27" s="135">
        <v>19.600000000000001</v>
      </c>
      <c r="H27" s="135">
        <v>21.4</v>
      </c>
      <c r="I27" s="135">
        <v>29.1</v>
      </c>
      <c r="J27" s="135">
        <v>37.700000000000003</v>
      </c>
      <c r="K27" s="135">
        <v>41.3</v>
      </c>
      <c r="L27" s="135">
        <v>35.700000000000003</v>
      </c>
      <c r="M27" s="136">
        <v>37.799999999999997</v>
      </c>
      <c r="N27" s="135">
        <v>34.299999999999997</v>
      </c>
      <c r="O27" s="140">
        <v>39.200000000000003</v>
      </c>
      <c r="P27" s="135">
        <v>44.5</v>
      </c>
      <c r="Q27" s="135">
        <v>48.9</v>
      </c>
      <c r="R27" s="135">
        <v>47.7</v>
      </c>
      <c r="S27" s="135">
        <v>63.8</v>
      </c>
      <c r="T27" s="135">
        <v>60.28</v>
      </c>
      <c r="U27" s="141">
        <v>25.5</v>
      </c>
    </row>
    <row r="28" spans="2:24" ht="15" customHeight="1">
      <c r="B28" s="133" t="s">
        <v>177</v>
      </c>
      <c r="C28" s="134">
        <v>12.5</v>
      </c>
      <c r="D28" s="134">
        <v>12.5</v>
      </c>
      <c r="E28" s="134">
        <v>12.53</v>
      </c>
      <c r="F28" s="135">
        <v>12.7</v>
      </c>
      <c r="G28" s="135">
        <v>16.8</v>
      </c>
      <c r="H28" s="135">
        <v>16.399999999999999</v>
      </c>
      <c r="I28" s="135">
        <v>18.3</v>
      </c>
      <c r="J28" s="135">
        <v>17.899999999999999</v>
      </c>
      <c r="K28" s="135">
        <v>19.5</v>
      </c>
      <c r="L28" s="135">
        <v>18.5</v>
      </c>
      <c r="M28" s="136">
        <v>19.5</v>
      </c>
      <c r="N28" s="145">
        <v>20.8</v>
      </c>
      <c r="O28" s="147">
        <v>21.7</v>
      </c>
      <c r="P28" s="145">
        <v>25.1</v>
      </c>
      <c r="Q28" s="145">
        <v>25.2</v>
      </c>
      <c r="R28" s="145">
        <v>25.4</v>
      </c>
      <c r="S28" s="145">
        <v>26.1</v>
      </c>
      <c r="T28" s="145">
        <v>29.04</v>
      </c>
      <c r="U28" s="678">
        <v>14.5</v>
      </c>
    </row>
    <row r="29" spans="2:24" ht="28.5" customHeight="1">
      <c r="B29" s="143" t="s">
        <v>178</v>
      </c>
      <c r="C29" s="144">
        <v>3.25</v>
      </c>
      <c r="D29" s="144">
        <v>3.59</v>
      </c>
      <c r="E29" s="144">
        <v>3.52</v>
      </c>
      <c r="F29" s="145">
        <v>3.9</v>
      </c>
      <c r="G29" s="145">
        <v>3.9</v>
      </c>
      <c r="H29" s="145">
        <v>4.3</v>
      </c>
      <c r="I29" s="145">
        <v>4.2</v>
      </c>
      <c r="J29" s="145">
        <v>5.5</v>
      </c>
      <c r="K29" s="145">
        <v>6.3</v>
      </c>
      <c r="L29" s="145">
        <v>6.7</v>
      </c>
      <c r="M29" s="146">
        <v>8</v>
      </c>
      <c r="N29" s="145">
        <v>8.5</v>
      </c>
      <c r="O29" s="147">
        <v>8.6</v>
      </c>
      <c r="P29" s="145">
        <v>8.8000000000000007</v>
      </c>
      <c r="Q29" s="145">
        <v>9.1999999999999993</v>
      </c>
      <c r="R29" s="145">
        <v>9.8000000000000007</v>
      </c>
      <c r="S29" s="145">
        <v>9.6</v>
      </c>
      <c r="T29" s="145">
        <v>9.56</v>
      </c>
      <c r="U29" s="678">
        <v>4.5</v>
      </c>
    </row>
    <row r="30" spans="2:24" s="139" customFormat="1" ht="20.100000000000001" customHeight="1">
      <c r="B30" s="126" t="s">
        <v>179</v>
      </c>
      <c r="C30" s="127">
        <f t="shared" ref="C30:N30" si="8">SUM(C31:C36)</f>
        <v>27.490000000000002</v>
      </c>
      <c r="D30" s="127">
        <f t="shared" si="8"/>
        <v>44.4</v>
      </c>
      <c r="E30" s="127">
        <f t="shared" si="8"/>
        <v>44.8</v>
      </c>
      <c r="F30" s="128">
        <f t="shared" si="8"/>
        <v>36.799999999999997</v>
      </c>
      <c r="G30" s="128">
        <f t="shared" si="8"/>
        <v>33.5</v>
      </c>
      <c r="H30" s="128">
        <f t="shared" si="8"/>
        <v>40.6</v>
      </c>
      <c r="I30" s="128">
        <f t="shared" si="8"/>
        <v>45.2</v>
      </c>
      <c r="J30" s="128">
        <f t="shared" si="8"/>
        <v>54.199999999999996</v>
      </c>
      <c r="K30" s="128">
        <f t="shared" si="8"/>
        <v>52.6</v>
      </c>
      <c r="L30" s="128">
        <f t="shared" si="8"/>
        <v>58.2</v>
      </c>
      <c r="M30" s="129">
        <f t="shared" si="8"/>
        <v>59.6</v>
      </c>
      <c r="N30" s="128">
        <f t="shared" si="8"/>
        <v>56.3</v>
      </c>
      <c r="O30" s="130">
        <f t="shared" ref="O30:U30" si="9">SUM(O31:O36)</f>
        <v>62.699999999999996</v>
      </c>
      <c r="P30" s="128">
        <f t="shared" si="9"/>
        <v>62.399999999999991</v>
      </c>
      <c r="Q30" s="128">
        <f t="shared" si="9"/>
        <v>61.000000000000007</v>
      </c>
      <c r="R30" s="128">
        <f t="shared" si="9"/>
        <v>64.5</v>
      </c>
      <c r="S30" s="128">
        <f t="shared" si="9"/>
        <v>64.300000000000011</v>
      </c>
      <c r="T30" s="128">
        <f t="shared" ref="T30" si="10">SUM(T31:T36)</f>
        <v>68.63</v>
      </c>
      <c r="U30" s="131">
        <f t="shared" si="9"/>
        <v>30.3</v>
      </c>
      <c r="W30" s="119"/>
      <c r="X30" s="119"/>
    </row>
    <row r="31" spans="2:24" ht="15" customHeight="1">
      <c r="B31" s="133" t="s">
        <v>180</v>
      </c>
      <c r="C31" s="134">
        <v>13.24</v>
      </c>
      <c r="D31" s="134">
        <v>14</v>
      </c>
      <c r="E31" s="134">
        <v>18.079999999999998</v>
      </c>
      <c r="F31" s="135">
        <v>17.3</v>
      </c>
      <c r="G31" s="135">
        <v>19.2</v>
      </c>
      <c r="H31" s="135">
        <v>23</v>
      </c>
      <c r="I31" s="135">
        <v>24.7</v>
      </c>
      <c r="J31" s="135">
        <v>27.5</v>
      </c>
      <c r="K31" s="135">
        <v>31.5</v>
      </c>
      <c r="L31" s="135">
        <v>32.1</v>
      </c>
      <c r="M31" s="136">
        <v>34</v>
      </c>
      <c r="N31" s="135">
        <v>33.4</v>
      </c>
      <c r="O31" s="140">
        <v>36.4</v>
      </c>
      <c r="P31" s="135">
        <v>36.4</v>
      </c>
      <c r="Q31" s="135">
        <v>36</v>
      </c>
      <c r="R31" s="135">
        <v>37.6</v>
      </c>
      <c r="S31" s="135">
        <v>37.700000000000003</v>
      </c>
      <c r="T31" s="135">
        <v>38.04</v>
      </c>
      <c r="U31" s="141">
        <v>16.600000000000001</v>
      </c>
    </row>
    <row r="32" spans="2:24" ht="15" customHeight="1">
      <c r="B32" s="133" t="s">
        <v>181</v>
      </c>
      <c r="C32" s="134">
        <v>10.62</v>
      </c>
      <c r="D32" s="134">
        <v>26.31</v>
      </c>
      <c r="E32" s="134">
        <v>22.92</v>
      </c>
      <c r="F32" s="135">
        <v>15.4</v>
      </c>
      <c r="G32" s="135">
        <v>10.199999999999999</v>
      </c>
      <c r="H32" s="135">
        <v>13.1</v>
      </c>
      <c r="I32" s="135">
        <v>14.4</v>
      </c>
      <c r="J32" s="135">
        <v>20.3</v>
      </c>
      <c r="K32" s="135">
        <v>14.2</v>
      </c>
      <c r="L32" s="135">
        <v>19</v>
      </c>
      <c r="M32" s="136">
        <v>17.899999999999999</v>
      </c>
      <c r="N32" s="135">
        <v>15.4</v>
      </c>
      <c r="O32" s="140">
        <v>17.2</v>
      </c>
      <c r="P32" s="135">
        <v>16.5</v>
      </c>
      <c r="Q32" s="135">
        <v>15.1</v>
      </c>
      <c r="R32" s="135">
        <v>16.600000000000001</v>
      </c>
      <c r="S32" s="135">
        <v>16.600000000000001</v>
      </c>
      <c r="T32" s="135">
        <v>19.72</v>
      </c>
      <c r="U32" s="141">
        <v>8.3000000000000007</v>
      </c>
    </row>
    <row r="33" spans="2:26" ht="15" customHeight="1">
      <c r="B33" s="133" t="s">
        <v>182</v>
      </c>
      <c r="C33" s="134">
        <v>0.14000000000000001</v>
      </c>
      <c r="D33" s="134">
        <v>0.22</v>
      </c>
      <c r="E33" s="134">
        <v>0.22</v>
      </c>
      <c r="F33" s="135">
        <v>0.3</v>
      </c>
      <c r="G33" s="135">
        <v>0.2</v>
      </c>
      <c r="H33" s="135">
        <v>0.3</v>
      </c>
      <c r="I33" s="135">
        <v>0.5</v>
      </c>
      <c r="J33" s="135">
        <v>0.6</v>
      </c>
      <c r="K33" s="135">
        <v>0.6</v>
      </c>
      <c r="L33" s="135">
        <v>0.6</v>
      </c>
      <c r="M33" s="136">
        <v>0.7</v>
      </c>
      <c r="N33" s="135">
        <v>0.7</v>
      </c>
      <c r="O33" s="140">
        <v>0.7</v>
      </c>
      <c r="P33" s="135">
        <v>0.8</v>
      </c>
      <c r="Q33" s="135">
        <v>0.7</v>
      </c>
      <c r="R33" s="135">
        <v>0.8</v>
      </c>
      <c r="S33" s="135">
        <v>0.8</v>
      </c>
      <c r="T33" s="135">
        <v>0.8</v>
      </c>
      <c r="U33" s="141">
        <v>0.4</v>
      </c>
    </row>
    <row r="34" spans="2:26" ht="15" customHeight="1">
      <c r="B34" s="133" t="s">
        <v>183</v>
      </c>
      <c r="C34" s="134"/>
      <c r="D34" s="134"/>
      <c r="E34" s="134"/>
      <c r="F34" s="135"/>
      <c r="G34" s="135"/>
      <c r="H34" s="135">
        <v>0.2</v>
      </c>
      <c r="I34" s="135">
        <v>1.2</v>
      </c>
      <c r="J34" s="135">
        <v>1.4</v>
      </c>
      <c r="K34" s="135">
        <v>1.3</v>
      </c>
      <c r="L34" s="135">
        <v>1.4</v>
      </c>
      <c r="M34" s="136">
        <v>1.2</v>
      </c>
      <c r="N34" s="135">
        <v>1</v>
      </c>
      <c r="O34" s="140">
        <v>2</v>
      </c>
      <c r="P34" s="135">
        <v>2</v>
      </c>
      <c r="Q34" s="135">
        <v>2</v>
      </c>
      <c r="R34" s="135">
        <v>5.9</v>
      </c>
      <c r="S34" s="135">
        <v>5.7</v>
      </c>
      <c r="T34" s="135">
        <v>2.46</v>
      </c>
      <c r="U34" s="141">
        <v>1.1000000000000001</v>
      </c>
    </row>
    <row r="35" spans="2:26" ht="15" customHeight="1">
      <c r="B35" s="133" t="s">
        <v>184</v>
      </c>
      <c r="C35" s="134"/>
      <c r="D35" s="134"/>
      <c r="E35" s="134"/>
      <c r="F35" s="135"/>
      <c r="G35" s="135"/>
      <c r="H35" s="135"/>
      <c r="I35" s="135"/>
      <c r="J35" s="135"/>
      <c r="K35" s="135"/>
      <c r="L35" s="135"/>
      <c r="M35" s="136"/>
      <c r="N35" s="135"/>
      <c r="O35" s="140">
        <v>0.6</v>
      </c>
      <c r="P35" s="135">
        <v>0.9</v>
      </c>
      <c r="Q35" s="135">
        <v>1.2</v>
      </c>
      <c r="R35" s="135">
        <v>2.2999999999999998</v>
      </c>
      <c r="S35" s="135">
        <v>2.2000000000000002</v>
      </c>
      <c r="T35" s="135">
        <v>1.36</v>
      </c>
      <c r="U35" s="141">
        <v>0.7</v>
      </c>
    </row>
    <row r="36" spans="2:26" ht="15" customHeight="1">
      <c r="B36" s="133" t="s">
        <v>185</v>
      </c>
      <c r="C36" s="134">
        <v>3.49</v>
      </c>
      <c r="D36" s="134">
        <v>3.87</v>
      </c>
      <c r="E36" s="134">
        <v>3.58</v>
      </c>
      <c r="F36" s="135">
        <v>3.8</v>
      </c>
      <c r="G36" s="135">
        <v>3.9</v>
      </c>
      <c r="H36" s="135">
        <v>4</v>
      </c>
      <c r="I36" s="135">
        <v>4.4000000000000004</v>
      </c>
      <c r="J36" s="135">
        <v>4.4000000000000004</v>
      </c>
      <c r="K36" s="135">
        <v>5</v>
      </c>
      <c r="L36" s="135">
        <v>5.0999999999999996</v>
      </c>
      <c r="M36" s="136">
        <v>5.8</v>
      </c>
      <c r="N36" s="135">
        <v>5.8</v>
      </c>
      <c r="O36" s="140">
        <v>5.8</v>
      </c>
      <c r="P36" s="135">
        <v>5.8</v>
      </c>
      <c r="Q36" s="135">
        <v>6</v>
      </c>
      <c r="R36" s="135">
        <v>1.3</v>
      </c>
      <c r="S36" s="135">
        <v>1.3</v>
      </c>
      <c r="T36" s="135">
        <v>6.25</v>
      </c>
      <c r="U36" s="141">
        <v>3.2</v>
      </c>
    </row>
    <row r="37" spans="2:26" ht="23.25" customHeight="1">
      <c r="B37" s="148" t="s">
        <v>186</v>
      </c>
      <c r="C37" s="149">
        <f>SUM(C6,C8,C10,C26,C30)</f>
        <v>1627.9099999999999</v>
      </c>
      <c r="D37" s="149">
        <f t="shared" ref="D37:N37" si="11">SUM(D6,D8,D10,D26,D30)</f>
        <v>1697.4100000000003</v>
      </c>
      <c r="E37" s="149">
        <f t="shared" si="11"/>
        <v>1591.4999999999998</v>
      </c>
      <c r="F37" s="150">
        <f t="shared" si="11"/>
        <v>1625.2</v>
      </c>
      <c r="G37" s="150">
        <f t="shared" si="11"/>
        <v>1863.5</v>
      </c>
      <c r="H37" s="150">
        <f t="shared" si="11"/>
        <v>2053.6999999999998</v>
      </c>
      <c r="I37" s="150">
        <f t="shared" si="11"/>
        <v>2140.5</v>
      </c>
      <c r="J37" s="150">
        <f t="shared" si="11"/>
        <v>2411.6999999999998</v>
      </c>
      <c r="K37" s="150">
        <f t="shared" si="11"/>
        <v>2538.4999999999995</v>
      </c>
      <c r="L37" s="150">
        <f t="shared" si="11"/>
        <v>2637.2999999999997</v>
      </c>
      <c r="M37" s="151">
        <f t="shared" si="11"/>
        <v>2845.6000000000004</v>
      </c>
      <c r="N37" s="150">
        <f t="shared" si="11"/>
        <v>3001.3</v>
      </c>
      <c r="O37" s="152">
        <f t="shared" ref="O37:U37" si="12">SUM(O6,O8,O10,O26,O30)</f>
        <v>3216.2000000000003</v>
      </c>
      <c r="P37" s="150">
        <f t="shared" si="12"/>
        <v>3115.7999999999997</v>
      </c>
      <c r="Q37" s="150">
        <f t="shared" si="12"/>
        <v>3315.8</v>
      </c>
      <c r="R37" s="150">
        <f t="shared" si="12"/>
        <v>3304.4</v>
      </c>
      <c r="S37" s="150">
        <f t="shared" si="12"/>
        <v>3496.9000000000005</v>
      </c>
      <c r="T37" s="150">
        <f t="shared" ref="T37" si="13">SUM(T6,T8,T10,T26,T30)</f>
        <v>3372.4100000000003</v>
      </c>
      <c r="U37" s="153">
        <f t="shared" si="12"/>
        <v>1730.6</v>
      </c>
    </row>
    <row r="38" spans="2:26" s="139" customFormat="1" ht="20.100000000000001" customHeight="1">
      <c r="B38" s="126" t="s">
        <v>187</v>
      </c>
      <c r="C38" s="127">
        <f t="shared" ref="C38:U38" si="14">SUM(C39:C41)</f>
        <v>764.2</v>
      </c>
      <c r="D38" s="127">
        <f t="shared" si="14"/>
        <v>1645.2</v>
      </c>
      <c r="E38" s="127">
        <f t="shared" si="14"/>
        <v>958.5</v>
      </c>
      <c r="F38" s="128">
        <f t="shared" si="14"/>
        <v>1180.8999999999999</v>
      </c>
      <c r="G38" s="128">
        <f t="shared" si="14"/>
        <v>1268.5999999999999</v>
      </c>
      <c r="H38" s="128">
        <f t="shared" si="14"/>
        <v>1580.8000000000002</v>
      </c>
      <c r="I38" s="128">
        <f t="shared" si="14"/>
        <v>1117.6999999999998</v>
      </c>
      <c r="J38" s="128">
        <f t="shared" si="14"/>
        <v>1212.4000000000001</v>
      </c>
      <c r="K38" s="128">
        <f t="shared" si="14"/>
        <v>2288.6</v>
      </c>
      <c r="L38" s="128">
        <f t="shared" si="14"/>
        <v>1358.2</v>
      </c>
      <c r="M38" s="129">
        <f t="shared" si="14"/>
        <v>2017.8999999999999</v>
      </c>
      <c r="N38" s="128">
        <f t="shared" si="14"/>
        <v>1340.2</v>
      </c>
      <c r="O38" s="130">
        <f t="shared" si="14"/>
        <v>1409.7</v>
      </c>
      <c r="P38" s="128">
        <f t="shared" si="14"/>
        <v>2626.1</v>
      </c>
      <c r="Q38" s="128">
        <f t="shared" si="14"/>
        <v>1460.1</v>
      </c>
      <c r="R38" s="128">
        <f t="shared" si="14"/>
        <v>1500.5</v>
      </c>
      <c r="S38" s="128">
        <f t="shared" si="14"/>
        <v>1726.5</v>
      </c>
      <c r="T38" s="128">
        <f t="shared" si="14"/>
        <v>1912.38</v>
      </c>
      <c r="U38" s="131">
        <f t="shared" si="14"/>
        <v>1031.8</v>
      </c>
      <c r="W38" s="119"/>
      <c r="X38" s="119"/>
      <c r="Y38" s="119"/>
      <c r="Z38" s="119"/>
    </row>
    <row r="39" spans="2:26" ht="15" customHeight="1">
      <c r="B39" s="133" t="s">
        <v>118</v>
      </c>
      <c r="C39" s="134">
        <v>333.2</v>
      </c>
      <c r="D39" s="134">
        <v>1088.8</v>
      </c>
      <c r="E39" s="134">
        <v>421.3</v>
      </c>
      <c r="F39" s="135">
        <v>557.9</v>
      </c>
      <c r="G39" s="135">
        <v>580</v>
      </c>
      <c r="H39" s="135">
        <v>873</v>
      </c>
      <c r="I39" s="135">
        <v>725.4</v>
      </c>
      <c r="J39" s="135">
        <v>692</v>
      </c>
      <c r="K39" s="135">
        <v>1482.2</v>
      </c>
      <c r="L39" s="135">
        <v>774.6</v>
      </c>
      <c r="M39" s="136">
        <v>1402.3</v>
      </c>
      <c r="N39" s="84">
        <v>742.1</v>
      </c>
      <c r="O39" s="154">
        <v>769.1</v>
      </c>
      <c r="P39" s="84">
        <v>1953.1</v>
      </c>
      <c r="Q39" s="84">
        <v>793.7</v>
      </c>
      <c r="R39" s="84">
        <v>889</v>
      </c>
      <c r="S39" s="84">
        <v>969.5</v>
      </c>
      <c r="T39" s="84">
        <v>1017.72</v>
      </c>
      <c r="U39" s="679">
        <v>521.4</v>
      </c>
    </row>
    <row r="40" spans="2:26" ht="15" customHeight="1">
      <c r="B40" s="133" t="s">
        <v>119</v>
      </c>
      <c r="C40" s="134">
        <v>132.9</v>
      </c>
      <c r="D40" s="134">
        <v>183.4</v>
      </c>
      <c r="E40" s="134">
        <v>133.30000000000001</v>
      </c>
      <c r="F40" s="135">
        <v>172.2</v>
      </c>
      <c r="G40" s="135">
        <v>113</v>
      </c>
      <c r="H40" s="135">
        <v>106.1</v>
      </c>
      <c r="I40" s="135">
        <v>54.4</v>
      </c>
      <c r="J40" s="135">
        <v>61</v>
      </c>
      <c r="K40" s="135">
        <v>82.1</v>
      </c>
      <c r="L40" s="135">
        <v>56.5</v>
      </c>
      <c r="M40" s="136">
        <v>57.1</v>
      </c>
      <c r="N40" s="84">
        <v>35.1</v>
      </c>
      <c r="O40" s="154">
        <v>47.6</v>
      </c>
      <c r="P40" s="84">
        <v>58</v>
      </c>
      <c r="Q40" s="84">
        <v>37.799999999999997</v>
      </c>
      <c r="R40" s="84">
        <v>32.799999999999997</v>
      </c>
      <c r="S40" s="84">
        <v>80</v>
      </c>
      <c r="T40" s="84">
        <v>88.19</v>
      </c>
      <c r="U40" s="679">
        <v>47</v>
      </c>
    </row>
    <row r="41" spans="2:26" ht="15" customHeight="1">
      <c r="B41" s="155" t="s">
        <v>188</v>
      </c>
      <c r="C41" s="156">
        <f>289.4+8.7</f>
        <v>298.09999999999997</v>
      </c>
      <c r="D41" s="156">
        <f>371.9+1.1</f>
        <v>373</v>
      </c>
      <c r="E41" s="156">
        <v>403.9</v>
      </c>
      <c r="F41" s="157">
        <v>450.8</v>
      </c>
      <c r="G41" s="157">
        <v>575.6</v>
      </c>
      <c r="H41" s="157">
        <v>601.70000000000005</v>
      </c>
      <c r="I41" s="157">
        <v>337.9</v>
      </c>
      <c r="J41" s="157">
        <v>459.4</v>
      </c>
      <c r="K41" s="157">
        <v>724.3</v>
      </c>
      <c r="L41" s="157">
        <v>527.1</v>
      </c>
      <c r="M41" s="158">
        <v>558.5</v>
      </c>
      <c r="N41" s="89">
        <v>563</v>
      </c>
      <c r="O41" s="159">
        <v>593</v>
      </c>
      <c r="P41" s="89">
        <v>615</v>
      </c>
      <c r="Q41" s="89">
        <v>628.6</v>
      </c>
      <c r="R41" s="89">
        <v>578.70000000000005</v>
      </c>
      <c r="S41" s="89">
        <v>677</v>
      </c>
      <c r="T41" s="89">
        <v>806.47</v>
      </c>
      <c r="U41" s="680">
        <v>463.4</v>
      </c>
    </row>
    <row r="42" spans="2:26" s="166" customFormat="1" ht="21" customHeight="1" thickBot="1">
      <c r="B42" s="160" t="s">
        <v>189</v>
      </c>
      <c r="C42" s="161">
        <f t="shared" ref="C42:U42" si="15">SUM(C37,C38)</f>
        <v>2392.1099999999997</v>
      </c>
      <c r="D42" s="161">
        <f t="shared" si="15"/>
        <v>3342.6100000000006</v>
      </c>
      <c r="E42" s="161">
        <f t="shared" si="15"/>
        <v>2550</v>
      </c>
      <c r="F42" s="162">
        <f t="shared" si="15"/>
        <v>2806.1</v>
      </c>
      <c r="G42" s="162">
        <f t="shared" si="15"/>
        <v>3132.1</v>
      </c>
      <c r="H42" s="162">
        <f t="shared" si="15"/>
        <v>3634.5</v>
      </c>
      <c r="I42" s="162">
        <f t="shared" si="15"/>
        <v>3258.2</v>
      </c>
      <c r="J42" s="162">
        <f t="shared" si="15"/>
        <v>3624.1</v>
      </c>
      <c r="K42" s="162">
        <f t="shared" si="15"/>
        <v>4827.0999999999995</v>
      </c>
      <c r="L42" s="162">
        <f t="shared" si="15"/>
        <v>3995.5</v>
      </c>
      <c r="M42" s="163">
        <f t="shared" si="15"/>
        <v>4863.5</v>
      </c>
      <c r="N42" s="162">
        <f t="shared" si="15"/>
        <v>4341.5</v>
      </c>
      <c r="O42" s="164">
        <f t="shared" si="15"/>
        <v>4625.9000000000005</v>
      </c>
      <c r="P42" s="162">
        <f t="shared" si="15"/>
        <v>5741.9</v>
      </c>
      <c r="Q42" s="162">
        <f t="shared" si="15"/>
        <v>4775.8999999999996</v>
      </c>
      <c r="R42" s="162">
        <f t="shared" si="15"/>
        <v>4804.8999999999996</v>
      </c>
      <c r="S42" s="162">
        <f t="shared" si="15"/>
        <v>5223.4000000000005</v>
      </c>
      <c r="T42" s="162">
        <f t="shared" si="15"/>
        <v>5284.7900000000009</v>
      </c>
      <c r="U42" s="165">
        <f t="shared" si="15"/>
        <v>2762.3999999999996</v>
      </c>
      <c r="W42" s="119"/>
      <c r="X42" s="119"/>
      <c r="Y42" s="119"/>
      <c r="Z42" s="119"/>
    </row>
    <row r="43" spans="2:26" ht="18" customHeight="1">
      <c r="B43" s="167" t="s">
        <v>827</v>
      </c>
      <c r="C43" s="142"/>
      <c r="D43" s="142"/>
      <c r="E43" s="142"/>
      <c r="F43" s="142"/>
      <c r="G43" s="142"/>
      <c r="H43" s="142"/>
      <c r="I43" s="142"/>
      <c r="J43" s="142"/>
      <c r="K43" s="142"/>
      <c r="L43" s="142"/>
    </row>
    <row r="44" spans="2:26">
      <c r="B44" s="167" t="s">
        <v>828</v>
      </c>
      <c r="C44" s="142"/>
      <c r="D44" s="142"/>
      <c r="E44" s="142"/>
      <c r="F44" s="142"/>
      <c r="G44" s="142"/>
      <c r="H44" s="142"/>
      <c r="I44" s="142"/>
      <c r="J44" s="142"/>
      <c r="K44" s="142"/>
      <c r="L44" s="142"/>
    </row>
    <row r="45" spans="2:26">
      <c r="B45" s="168"/>
      <c r="C45" s="142"/>
      <c r="D45" s="142"/>
      <c r="E45" s="142"/>
      <c r="F45" s="142"/>
      <c r="G45" s="142"/>
      <c r="H45" s="142"/>
      <c r="I45" s="142"/>
      <c r="J45" s="142"/>
      <c r="K45" s="142"/>
      <c r="L45" s="142"/>
    </row>
    <row r="46" spans="2:26">
      <c r="B46" s="142" t="s">
        <v>190</v>
      </c>
      <c r="C46" s="142"/>
      <c r="D46" s="142"/>
      <c r="E46" s="142"/>
      <c r="F46" s="142"/>
      <c r="G46" s="142"/>
      <c r="H46" s="142"/>
      <c r="I46" s="142"/>
      <c r="J46" s="142"/>
      <c r="K46" s="142"/>
      <c r="L46" s="142"/>
      <c r="W46" s="142"/>
    </row>
    <row r="47" spans="2:26" ht="13.5" thickBot="1">
      <c r="B47" s="169"/>
      <c r="C47" s="169"/>
      <c r="D47" s="169"/>
      <c r="E47" s="169"/>
      <c r="F47" s="169"/>
      <c r="G47" s="169"/>
      <c r="H47" s="169"/>
      <c r="I47" s="169"/>
      <c r="J47" s="169"/>
      <c r="K47" s="169"/>
      <c r="L47" s="169"/>
      <c r="M47" s="170"/>
      <c r="N47" s="170"/>
      <c r="O47" s="170"/>
      <c r="W47" s="142"/>
    </row>
    <row r="48" spans="2:26" ht="30" customHeight="1">
      <c r="B48" s="120" t="s">
        <v>157</v>
      </c>
      <c r="C48" s="171">
        <v>2001</v>
      </c>
      <c r="D48" s="171">
        <v>2002</v>
      </c>
      <c r="E48" s="171">
        <v>2003</v>
      </c>
      <c r="F48" s="171">
        <v>2004</v>
      </c>
      <c r="G48" s="171">
        <v>2005</v>
      </c>
      <c r="H48" s="171">
        <v>2006</v>
      </c>
      <c r="I48" s="171">
        <v>2007</v>
      </c>
      <c r="J48" s="171">
        <v>2008</v>
      </c>
      <c r="K48" s="121">
        <v>2009</v>
      </c>
      <c r="L48" s="121">
        <v>2010</v>
      </c>
      <c r="M48" s="122">
        <v>2011</v>
      </c>
      <c r="N48" s="121">
        <v>2012</v>
      </c>
      <c r="O48" s="123">
        <v>2013</v>
      </c>
      <c r="P48" s="121">
        <v>2014</v>
      </c>
      <c r="Q48" s="121">
        <v>2015</v>
      </c>
      <c r="R48" s="121">
        <v>2016</v>
      </c>
      <c r="S48" s="121">
        <v>2017</v>
      </c>
      <c r="T48" s="121">
        <v>2018</v>
      </c>
      <c r="U48" s="124" t="s">
        <v>773</v>
      </c>
      <c r="W48" s="142"/>
    </row>
    <row r="49" spans="2:23" ht="15.75" customHeight="1">
      <c r="B49" s="126" t="s">
        <v>158</v>
      </c>
      <c r="C49" s="127">
        <f>+C50</f>
        <v>0.64796351338358193</v>
      </c>
      <c r="D49" s="127">
        <f t="shared" ref="D49:U49" si="16">+D50</f>
        <v>0.51935463604787868</v>
      </c>
      <c r="E49" s="127">
        <f t="shared" si="16"/>
        <v>0.65960784313725485</v>
      </c>
      <c r="F49" s="128">
        <f t="shared" si="16"/>
        <v>0.67353266098856057</v>
      </c>
      <c r="G49" s="128">
        <f t="shared" si="16"/>
        <v>0.61939273969541198</v>
      </c>
      <c r="H49" s="128">
        <f t="shared" si="16"/>
        <v>0.61631586187921306</v>
      </c>
      <c r="I49" s="128">
        <f t="shared" si="16"/>
        <v>0.81947087348842929</v>
      </c>
      <c r="J49" s="128">
        <f t="shared" si="16"/>
        <v>0.84710686791203327</v>
      </c>
      <c r="K49" s="128">
        <f t="shared" si="16"/>
        <v>0.77893559279898916</v>
      </c>
      <c r="L49" s="128">
        <f t="shared" si="16"/>
        <v>1.1487923914403704</v>
      </c>
      <c r="M49" s="129">
        <f t="shared" si="16"/>
        <v>1.0876940474966588</v>
      </c>
      <c r="N49" s="128">
        <f t="shared" si="16"/>
        <v>1.2599332028100887</v>
      </c>
      <c r="O49" s="130">
        <f t="shared" si="16"/>
        <v>1.2430013618971443</v>
      </c>
      <c r="P49" s="128">
        <f t="shared" si="16"/>
        <v>0.99618593148609358</v>
      </c>
      <c r="Q49" s="128">
        <f t="shared" si="16"/>
        <v>1.1830230951234322</v>
      </c>
      <c r="R49" s="128">
        <f t="shared" si="16"/>
        <v>1.1883702054153054</v>
      </c>
      <c r="S49" s="128">
        <f t="shared" si="16"/>
        <v>1.0452961672473866</v>
      </c>
      <c r="T49" s="128">
        <f t="shared" si="16"/>
        <v>1.1020305442600367</v>
      </c>
      <c r="U49" s="131">
        <f t="shared" si="16"/>
        <v>0.99551114972487709</v>
      </c>
      <c r="W49" s="142"/>
    </row>
    <row r="50" spans="2:23" ht="15.75" customHeight="1">
      <c r="B50" s="133" t="s">
        <v>158</v>
      </c>
      <c r="C50" s="134">
        <f t="shared" ref="C50:U50" si="17">+C7/C$42*100</f>
        <v>0.64796351338358193</v>
      </c>
      <c r="D50" s="134">
        <f t="shared" si="17"/>
        <v>0.51935463604787868</v>
      </c>
      <c r="E50" s="134">
        <f t="shared" si="17"/>
        <v>0.65960784313725485</v>
      </c>
      <c r="F50" s="135">
        <f t="shared" si="17"/>
        <v>0.67353266098856057</v>
      </c>
      <c r="G50" s="135">
        <f t="shared" si="17"/>
        <v>0.61939273969541198</v>
      </c>
      <c r="H50" s="135">
        <f t="shared" si="17"/>
        <v>0.61631586187921306</v>
      </c>
      <c r="I50" s="135">
        <f t="shared" si="17"/>
        <v>0.81947087348842929</v>
      </c>
      <c r="J50" s="135">
        <f t="shared" si="17"/>
        <v>0.84710686791203327</v>
      </c>
      <c r="K50" s="135">
        <f t="shared" si="17"/>
        <v>0.77893559279898916</v>
      </c>
      <c r="L50" s="135">
        <f t="shared" si="17"/>
        <v>1.1487923914403704</v>
      </c>
      <c r="M50" s="136">
        <f t="shared" si="17"/>
        <v>1.0876940474966588</v>
      </c>
      <c r="N50" s="135">
        <f t="shared" si="17"/>
        <v>1.2599332028100887</v>
      </c>
      <c r="O50" s="140">
        <f t="shared" si="17"/>
        <v>1.2430013618971443</v>
      </c>
      <c r="P50" s="135">
        <f t="shared" si="17"/>
        <v>0.99618593148609358</v>
      </c>
      <c r="Q50" s="135">
        <f t="shared" si="17"/>
        <v>1.1830230951234322</v>
      </c>
      <c r="R50" s="135">
        <f t="shared" si="17"/>
        <v>1.1883702054153054</v>
      </c>
      <c r="S50" s="135">
        <f t="shared" si="17"/>
        <v>1.0452961672473866</v>
      </c>
      <c r="T50" s="135">
        <f t="shared" si="17"/>
        <v>1.1020305442600367</v>
      </c>
      <c r="U50" s="141">
        <f t="shared" si="17"/>
        <v>0.99551114972487709</v>
      </c>
      <c r="W50" s="142"/>
    </row>
    <row r="51" spans="2:23" ht="15.75" customHeight="1">
      <c r="B51" s="126" t="s">
        <v>159</v>
      </c>
      <c r="C51" s="127">
        <f t="shared" ref="C51:U51" si="18">+C52</f>
        <v>4.4270539398271831</v>
      </c>
      <c r="D51" s="127">
        <f t="shared" si="18"/>
        <v>3.288747415941434</v>
      </c>
      <c r="E51" s="127">
        <f t="shared" si="18"/>
        <v>4.2905882352941171</v>
      </c>
      <c r="F51" s="128">
        <f t="shared" si="18"/>
        <v>4.2692705178005061</v>
      </c>
      <c r="G51" s="128">
        <f t="shared" si="18"/>
        <v>4.2687015101688957</v>
      </c>
      <c r="H51" s="128">
        <f t="shared" si="18"/>
        <v>4.2701884715916902</v>
      </c>
      <c r="I51" s="128">
        <f t="shared" si="18"/>
        <v>5.1040451783193177</v>
      </c>
      <c r="J51" s="128">
        <f t="shared" si="18"/>
        <v>4.9253607792279466</v>
      </c>
      <c r="K51" s="128">
        <f t="shared" si="18"/>
        <v>3.6750844192165073</v>
      </c>
      <c r="L51" s="128">
        <f t="shared" si="18"/>
        <v>4.5175822800650733</v>
      </c>
      <c r="M51" s="129">
        <f t="shared" si="18"/>
        <v>4.0135704739385218</v>
      </c>
      <c r="N51" s="128">
        <f t="shared" si="18"/>
        <v>4.7932742139813422</v>
      </c>
      <c r="O51" s="130">
        <f t="shared" si="18"/>
        <v>4.6780086037311648</v>
      </c>
      <c r="P51" s="128">
        <f t="shared" si="18"/>
        <v>3.7827200055730681</v>
      </c>
      <c r="Q51" s="128">
        <f t="shared" si="18"/>
        <v>5.0189493079838359</v>
      </c>
      <c r="R51" s="128">
        <f t="shared" si="18"/>
        <v>5.105205103123895</v>
      </c>
      <c r="S51" s="128">
        <f t="shared" si="18"/>
        <v>4.7268062947505456</v>
      </c>
      <c r="T51" s="128">
        <f t="shared" si="18"/>
        <v>4.7087963760149396</v>
      </c>
      <c r="U51" s="131">
        <f t="shared" si="18"/>
        <v>3.9277439907326968</v>
      </c>
      <c r="W51" s="142"/>
    </row>
    <row r="52" spans="2:23" ht="15.75" customHeight="1">
      <c r="B52" s="133" t="s">
        <v>159</v>
      </c>
      <c r="C52" s="134">
        <f t="shared" ref="C52:U52" si="19">+C9/C$42*100</f>
        <v>4.4270539398271831</v>
      </c>
      <c r="D52" s="134">
        <f t="shared" si="19"/>
        <v>3.288747415941434</v>
      </c>
      <c r="E52" s="134">
        <f t="shared" si="19"/>
        <v>4.2905882352941171</v>
      </c>
      <c r="F52" s="135">
        <f t="shared" si="19"/>
        <v>4.2692705178005061</v>
      </c>
      <c r="G52" s="135">
        <f t="shared" si="19"/>
        <v>4.2687015101688957</v>
      </c>
      <c r="H52" s="135">
        <f t="shared" si="19"/>
        <v>4.2701884715916902</v>
      </c>
      <c r="I52" s="135">
        <f t="shared" si="19"/>
        <v>5.1040451783193177</v>
      </c>
      <c r="J52" s="135">
        <f t="shared" si="19"/>
        <v>4.9253607792279466</v>
      </c>
      <c r="K52" s="135">
        <f t="shared" si="19"/>
        <v>3.6750844192165073</v>
      </c>
      <c r="L52" s="135">
        <f t="shared" si="19"/>
        <v>4.5175822800650733</v>
      </c>
      <c r="M52" s="136">
        <f t="shared" si="19"/>
        <v>4.0135704739385218</v>
      </c>
      <c r="N52" s="135">
        <f t="shared" si="19"/>
        <v>4.7932742139813422</v>
      </c>
      <c r="O52" s="140">
        <f t="shared" si="19"/>
        <v>4.6780086037311648</v>
      </c>
      <c r="P52" s="135">
        <f t="shared" si="19"/>
        <v>3.7827200055730681</v>
      </c>
      <c r="Q52" s="135">
        <f t="shared" si="19"/>
        <v>5.0189493079838359</v>
      </c>
      <c r="R52" s="135">
        <f t="shared" si="19"/>
        <v>5.105205103123895</v>
      </c>
      <c r="S52" s="135">
        <f t="shared" si="19"/>
        <v>4.7268062947505456</v>
      </c>
      <c r="T52" s="135">
        <f t="shared" si="19"/>
        <v>4.7087963760149396</v>
      </c>
      <c r="U52" s="141">
        <f t="shared" si="19"/>
        <v>3.9277439907326968</v>
      </c>
      <c r="W52" s="142"/>
    </row>
    <row r="53" spans="2:23" ht="15.75" customHeight="1">
      <c r="B53" s="126" t="s">
        <v>160</v>
      </c>
      <c r="C53" s="127">
        <f>SUM(C54:C68)</f>
        <v>60.39814222590099</v>
      </c>
      <c r="D53" s="127">
        <f t="shared" ref="D53:M53" si="20">SUM(D54:D68)</f>
        <v>44.591202682933393</v>
      </c>
      <c r="E53" s="127">
        <f t="shared" si="20"/>
        <v>54.310980392156864</v>
      </c>
      <c r="F53" s="128">
        <f t="shared" si="20"/>
        <v>50.372402979223828</v>
      </c>
      <c r="G53" s="128">
        <f t="shared" si="20"/>
        <v>52.252482360077899</v>
      </c>
      <c r="H53" s="128">
        <f t="shared" si="20"/>
        <v>49.343788691704503</v>
      </c>
      <c r="I53" s="128">
        <f t="shared" si="20"/>
        <v>56.801301332023812</v>
      </c>
      <c r="J53" s="128">
        <f t="shared" si="20"/>
        <v>57.592229794983581</v>
      </c>
      <c r="K53" s="128">
        <f t="shared" si="20"/>
        <v>45.654740941766285</v>
      </c>
      <c r="L53" s="128">
        <f t="shared" si="20"/>
        <v>57.359529470654486</v>
      </c>
      <c r="M53" s="129">
        <f t="shared" si="20"/>
        <v>50.839930091497898</v>
      </c>
      <c r="N53" s="128">
        <f t="shared" ref="N53:U53" si="21">SUM(N54:N68)</f>
        <v>60.315559138546575</v>
      </c>
      <c r="O53" s="130">
        <f t="shared" si="21"/>
        <v>60.747097862037648</v>
      </c>
      <c r="P53" s="128">
        <f t="shared" si="21"/>
        <v>47.033212002995526</v>
      </c>
      <c r="Q53" s="128">
        <f t="shared" si="21"/>
        <v>60.204359387759382</v>
      </c>
      <c r="R53" s="128">
        <f t="shared" si="21"/>
        <v>59.410185435701067</v>
      </c>
      <c r="S53" s="128">
        <f t="shared" ref="S53:T53" si="22">SUM(S54:S68)</f>
        <v>58.038825286212038</v>
      </c>
      <c r="T53" s="128">
        <f t="shared" si="22"/>
        <v>54.83302080120496</v>
      </c>
      <c r="U53" s="131">
        <f t="shared" si="21"/>
        <v>55.017376194613391</v>
      </c>
      <c r="W53" s="142"/>
    </row>
    <row r="54" spans="2:23" ht="15.75" customHeight="1">
      <c r="B54" s="133" t="s">
        <v>161</v>
      </c>
      <c r="C54" s="134">
        <f t="shared" ref="C54:U54" si="23">+C11/C$42*100</f>
        <v>3.1599717404299974</v>
      </c>
      <c r="D54" s="134">
        <f t="shared" si="23"/>
        <v>1.8267162486799235</v>
      </c>
      <c r="E54" s="134">
        <f t="shared" si="23"/>
        <v>2.5427450980392159</v>
      </c>
      <c r="F54" s="135">
        <f t="shared" si="23"/>
        <v>2.5729660382737611</v>
      </c>
      <c r="G54" s="135">
        <f t="shared" si="23"/>
        <v>2.9277481561891383</v>
      </c>
      <c r="H54" s="135">
        <f t="shared" si="23"/>
        <v>2.8834777823634612</v>
      </c>
      <c r="I54" s="135">
        <f t="shared" si="23"/>
        <v>3.2011540114173473</v>
      </c>
      <c r="J54" s="135">
        <f t="shared" si="23"/>
        <v>2.9221047984327142</v>
      </c>
      <c r="K54" s="135">
        <f t="shared" si="23"/>
        <v>2.1545027034865658</v>
      </c>
      <c r="L54" s="135">
        <f t="shared" si="23"/>
        <v>3.1760730822174947</v>
      </c>
      <c r="M54" s="136">
        <f t="shared" si="23"/>
        <v>2.8436311298447623</v>
      </c>
      <c r="N54" s="135">
        <f t="shared" si="23"/>
        <v>3.5402510653000112</v>
      </c>
      <c r="O54" s="140">
        <f t="shared" si="23"/>
        <v>3.476080330314101</v>
      </c>
      <c r="P54" s="135">
        <f t="shared" si="23"/>
        <v>2.1177658963061008</v>
      </c>
      <c r="Q54" s="135">
        <f t="shared" si="23"/>
        <v>2.8183169664356456</v>
      </c>
      <c r="R54" s="135">
        <f t="shared" si="23"/>
        <v>2.4828820578992281</v>
      </c>
      <c r="S54" s="135">
        <f t="shared" si="23"/>
        <v>2.4600834705364321</v>
      </c>
      <c r="T54" s="135">
        <f t="shared" si="23"/>
        <v>2.3270555689062382</v>
      </c>
      <c r="U54" s="141">
        <f t="shared" si="23"/>
        <v>1.5747176368375329</v>
      </c>
      <c r="W54" s="142"/>
    </row>
    <row r="55" spans="2:23" ht="15.75" customHeight="1">
      <c r="B55" s="133" t="s">
        <v>162</v>
      </c>
      <c r="C55" s="134">
        <f t="shared" ref="C55:U55" si="24">+C12/C$42*100</f>
        <v>1.6345402176321326</v>
      </c>
      <c r="D55" s="134">
        <f t="shared" si="24"/>
        <v>1.6035373555395331</v>
      </c>
      <c r="E55" s="134">
        <f t="shared" si="24"/>
        <v>1.6509803921568627</v>
      </c>
      <c r="F55" s="135">
        <f t="shared" si="24"/>
        <v>1.4717935925305583</v>
      </c>
      <c r="G55" s="135">
        <f t="shared" si="24"/>
        <v>1.5772165639666678</v>
      </c>
      <c r="H55" s="135">
        <f t="shared" si="24"/>
        <v>1.5132755537212823</v>
      </c>
      <c r="I55" s="135">
        <f t="shared" si="24"/>
        <v>1.6235958504695847</v>
      </c>
      <c r="J55" s="135">
        <f t="shared" si="24"/>
        <v>1.5176181672691151</v>
      </c>
      <c r="K55" s="135">
        <f t="shared" si="24"/>
        <v>1.2699136127281392</v>
      </c>
      <c r="L55" s="135">
        <f t="shared" si="24"/>
        <v>1.5066950319108998</v>
      </c>
      <c r="M55" s="136">
        <f t="shared" si="24"/>
        <v>1.250128508275933</v>
      </c>
      <c r="N55" s="135">
        <f t="shared" si="24"/>
        <v>1.5754923413566742</v>
      </c>
      <c r="O55" s="140">
        <f t="shared" si="24"/>
        <v>1.573747811236732</v>
      </c>
      <c r="P55" s="135">
        <f t="shared" si="24"/>
        <v>1.4193907939880528</v>
      </c>
      <c r="Q55" s="135">
        <f t="shared" si="24"/>
        <v>1.8635231055926633</v>
      </c>
      <c r="R55" s="135">
        <f t="shared" si="24"/>
        <v>2.0083664592395265</v>
      </c>
      <c r="S55" s="135">
        <f t="shared" si="24"/>
        <v>1.9316920013784125</v>
      </c>
      <c r="T55" s="135">
        <f t="shared" si="24"/>
        <v>1.8454848726250237</v>
      </c>
      <c r="U55" s="141">
        <f t="shared" si="24"/>
        <v>1.6688386909933395</v>
      </c>
      <c r="W55" s="142"/>
    </row>
    <row r="56" spans="2:23" ht="15.75" customHeight="1">
      <c r="B56" s="133" t="s">
        <v>163</v>
      </c>
      <c r="C56" s="134">
        <f t="shared" ref="C56:U56" si="25">+C13/C$42*100</f>
        <v>0.97905196667377359</v>
      </c>
      <c r="D56" s="134">
        <f t="shared" si="25"/>
        <v>0.71022344814381555</v>
      </c>
      <c r="E56" s="134">
        <f t="shared" si="25"/>
        <v>0.88</v>
      </c>
      <c r="F56" s="135">
        <f t="shared" si="25"/>
        <v>0.91942553722247966</v>
      </c>
      <c r="G56" s="135">
        <f t="shared" si="25"/>
        <v>1.1398103508827946</v>
      </c>
      <c r="H56" s="135">
        <f t="shared" si="25"/>
        <v>0.95749071399092034</v>
      </c>
      <c r="I56" s="135">
        <f t="shared" si="25"/>
        <v>1.1693573138542754</v>
      </c>
      <c r="J56" s="135">
        <f t="shared" si="25"/>
        <v>1.2278910626086477</v>
      </c>
      <c r="K56" s="135">
        <f t="shared" si="25"/>
        <v>0.79550869051811646</v>
      </c>
      <c r="L56" s="135">
        <f t="shared" si="25"/>
        <v>0.97109247903891871</v>
      </c>
      <c r="M56" s="136">
        <f t="shared" si="25"/>
        <v>0.82656523080086364</v>
      </c>
      <c r="N56" s="135">
        <f t="shared" si="25"/>
        <v>0.90982379361971666</v>
      </c>
      <c r="O56" s="140">
        <f t="shared" si="25"/>
        <v>0.96197496703344199</v>
      </c>
      <c r="P56" s="135">
        <f t="shared" si="25"/>
        <v>0.72798202685522218</v>
      </c>
      <c r="Q56" s="135">
        <f t="shared" si="25"/>
        <v>0.91710462949391747</v>
      </c>
      <c r="R56" s="135">
        <f t="shared" si="25"/>
        <v>0.95735603238360845</v>
      </c>
      <c r="S56" s="135">
        <f t="shared" si="25"/>
        <v>0.81173182218478368</v>
      </c>
      <c r="T56" s="135">
        <f t="shared" si="25"/>
        <v>0.86531347508604861</v>
      </c>
      <c r="U56" s="141">
        <f t="shared" si="25"/>
        <v>0.93759050101361141</v>
      </c>
      <c r="W56" s="142"/>
    </row>
    <row r="57" spans="2:23" ht="15.75" customHeight="1">
      <c r="B57" s="133" t="s">
        <v>164</v>
      </c>
      <c r="C57" s="134">
        <f t="shared" ref="C57:U57" si="26">+C14/C$42*100</f>
        <v>5.4713202988156908</v>
      </c>
      <c r="D57" s="134">
        <f t="shared" si="26"/>
        <v>4.204498879618022</v>
      </c>
      <c r="E57" s="134">
        <f t="shared" si="26"/>
        <v>4.1800000000000006</v>
      </c>
      <c r="F57" s="135">
        <f t="shared" si="26"/>
        <v>3.7988667545703998</v>
      </c>
      <c r="G57" s="135">
        <f t="shared" si="26"/>
        <v>3.4226237987292873</v>
      </c>
      <c r="H57" s="135">
        <f t="shared" si="26"/>
        <v>3.1311046911542162</v>
      </c>
      <c r="I57" s="135">
        <f t="shared" si="26"/>
        <v>3.695291878951569</v>
      </c>
      <c r="J57" s="135">
        <f t="shared" si="26"/>
        <v>3.4463728925802268</v>
      </c>
      <c r="K57" s="135">
        <f t="shared" si="26"/>
        <v>2.8008535145325348</v>
      </c>
      <c r="L57" s="135">
        <f t="shared" si="26"/>
        <v>3.6691277687398318</v>
      </c>
      <c r="M57" s="136">
        <f t="shared" si="26"/>
        <v>3.3556081011617147</v>
      </c>
      <c r="N57" s="135">
        <f t="shared" si="26"/>
        <v>3.6991823102614299</v>
      </c>
      <c r="O57" s="140">
        <f t="shared" si="26"/>
        <v>3.5301238677878897</v>
      </c>
      <c r="P57" s="135">
        <f t="shared" si="26"/>
        <v>2.7064212194569741</v>
      </c>
      <c r="Q57" s="135">
        <f t="shared" si="26"/>
        <v>3.3731862057413262</v>
      </c>
      <c r="R57" s="135">
        <f t="shared" si="26"/>
        <v>3.2029802909529859</v>
      </c>
      <c r="S57" s="135">
        <f t="shared" si="26"/>
        <v>3.1435463491212614</v>
      </c>
      <c r="T57" s="135">
        <f t="shared" si="26"/>
        <v>3.2786544025401194</v>
      </c>
      <c r="U57" s="141">
        <f t="shared" si="26"/>
        <v>3.2652765710975964</v>
      </c>
      <c r="W57" s="142"/>
    </row>
    <row r="58" spans="2:23" ht="15.75" customHeight="1">
      <c r="B58" s="133" t="s">
        <v>191</v>
      </c>
      <c r="C58" s="134">
        <f t="shared" ref="C58:U58" si="27">+C15/C$42*100</f>
        <v>8.3399174787112642</v>
      </c>
      <c r="D58" s="134">
        <f t="shared" si="27"/>
        <v>5.6841809244871513</v>
      </c>
      <c r="E58" s="134">
        <f t="shared" si="27"/>
        <v>7.3117647058823527</v>
      </c>
      <c r="F58" s="135">
        <f t="shared" si="27"/>
        <v>6.7602722639962938</v>
      </c>
      <c r="G58" s="135">
        <f t="shared" si="27"/>
        <v>6.6824175473324612</v>
      </c>
      <c r="H58" s="135">
        <f t="shared" si="27"/>
        <v>6.0943733663502542</v>
      </c>
      <c r="I58" s="135">
        <f t="shared" si="27"/>
        <v>1.292124485912467</v>
      </c>
      <c r="J58" s="135">
        <f t="shared" si="27"/>
        <v>0.38906211197262769</v>
      </c>
      <c r="K58" s="135">
        <f t="shared" si="27"/>
        <v>0.31074558223363929</v>
      </c>
      <c r="L58" s="135">
        <f t="shared" si="27"/>
        <v>0.53059692153672877</v>
      </c>
      <c r="M58" s="136">
        <f t="shared" si="27"/>
        <v>0.4071142181556493</v>
      </c>
      <c r="N58" s="135">
        <f t="shared" si="27"/>
        <v>0.44224346424046984</v>
      </c>
      <c r="O58" s="140">
        <f t="shared" si="27"/>
        <v>0.39559869430813466</v>
      </c>
      <c r="P58" s="135">
        <f t="shared" si="27"/>
        <v>0.34483359166826316</v>
      </c>
      <c r="Q58" s="135">
        <f t="shared" si="27"/>
        <v>0.44808308381666279</v>
      </c>
      <c r="R58" s="135">
        <f t="shared" si="27"/>
        <v>0.47035318112759894</v>
      </c>
      <c r="S58" s="135">
        <f t="shared" si="27"/>
        <v>0.51499023624459161</v>
      </c>
      <c r="T58" s="135">
        <f t="shared" si="27"/>
        <v>0.72585665655588949</v>
      </c>
      <c r="U58" s="141">
        <f t="shared" si="27"/>
        <v>1.1837532580364902</v>
      </c>
      <c r="W58" s="142"/>
    </row>
    <row r="59" spans="2:23" ht="15.75" customHeight="1">
      <c r="B59" s="133" t="s">
        <v>166</v>
      </c>
      <c r="C59" s="134">
        <f t="shared" ref="C59:U59" si="28">+C16/C$42*100</f>
        <v>0</v>
      </c>
      <c r="D59" s="134">
        <f t="shared" si="28"/>
        <v>0</v>
      </c>
      <c r="E59" s="134">
        <f t="shared" si="28"/>
        <v>0</v>
      </c>
      <c r="F59" s="135">
        <f t="shared" si="28"/>
        <v>0</v>
      </c>
      <c r="G59" s="135">
        <f t="shared" si="28"/>
        <v>0</v>
      </c>
      <c r="H59" s="135">
        <f t="shared" si="28"/>
        <v>0</v>
      </c>
      <c r="I59" s="135">
        <f t="shared" si="28"/>
        <v>6.2979559265852316</v>
      </c>
      <c r="J59" s="135">
        <f t="shared" si="28"/>
        <v>8.6614607764686404</v>
      </c>
      <c r="K59" s="135">
        <f t="shared" si="28"/>
        <v>5.8337303971328556</v>
      </c>
      <c r="L59" s="135">
        <f t="shared" si="28"/>
        <v>8.2242522838192968</v>
      </c>
      <c r="M59" s="136">
        <f t="shared" si="28"/>
        <v>6.9003803844967626</v>
      </c>
      <c r="N59" s="135">
        <f t="shared" si="28"/>
        <v>7.7530807324657376</v>
      </c>
      <c r="O59" s="140">
        <f t="shared" si="28"/>
        <v>7.8925182126721278</v>
      </c>
      <c r="P59" s="135">
        <f t="shared" si="28"/>
        <v>6.2331284069733019</v>
      </c>
      <c r="Q59" s="135">
        <f t="shared" si="28"/>
        <v>9.1836093720555301</v>
      </c>
      <c r="R59" s="135">
        <f t="shared" si="28"/>
        <v>9.0699078024516648</v>
      </c>
      <c r="S59" s="135">
        <f t="shared" si="28"/>
        <v>8.8409847991729524</v>
      </c>
      <c r="T59" s="135">
        <f t="shared" si="28"/>
        <v>8.2351427398250436</v>
      </c>
      <c r="U59" s="141">
        <f t="shared" si="28"/>
        <v>7.775847089487403</v>
      </c>
      <c r="W59" s="142"/>
    </row>
    <row r="60" spans="2:23" ht="15.75" customHeight="1">
      <c r="B60" s="133" t="s">
        <v>167</v>
      </c>
      <c r="C60" s="134">
        <f t="shared" ref="C60:U60" si="29">+C17/C$42*100</f>
        <v>19.744911396215059</v>
      </c>
      <c r="D60" s="134">
        <f t="shared" si="29"/>
        <v>14.024370177795193</v>
      </c>
      <c r="E60" s="134">
        <f t="shared" si="29"/>
        <v>18.287450980392155</v>
      </c>
      <c r="F60" s="135">
        <f t="shared" si="29"/>
        <v>16.521150351020992</v>
      </c>
      <c r="G60" s="135">
        <f t="shared" si="29"/>
        <v>16.005236103572685</v>
      </c>
      <c r="H60" s="135">
        <f t="shared" si="29"/>
        <v>14.472417113770808</v>
      </c>
      <c r="I60" s="135">
        <f t="shared" si="29"/>
        <v>17.65391934196796</v>
      </c>
      <c r="J60" s="135">
        <f t="shared" si="29"/>
        <v>17.444331006318812</v>
      </c>
      <c r="K60" s="135">
        <f t="shared" si="29"/>
        <v>15.665720619005203</v>
      </c>
      <c r="L60" s="135">
        <f t="shared" si="29"/>
        <v>17.214366161932173</v>
      </c>
      <c r="M60" s="136">
        <f t="shared" si="29"/>
        <v>15.708851650046263</v>
      </c>
      <c r="N60" s="135">
        <f t="shared" si="29"/>
        <v>18.961188529310146</v>
      </c>
      <c r="O60" s="140">
        <f t="shared" si="29"/>
        <v>18.571521217492812</v>
      </c>
      <c r="P60" s="135">
        <f t="shared" si="29"/>
        <v>15.23711663386684</v>
      </c>
      <c r="Q60" s="135">
        <f t="shared" si="29"/>
        <v>19.401578760024289</v>
      </c>
      <c r="R60" s="135">
        <f t="shared" si="29"/>
        <v>19.627879872630025</v>
      </c>
      <c r="S60" s="135">
        <f t="shared" si="29"/>
        <v>18.290768464984492</v>
      </c>
      <c r="T60" s="135">
        <f t="shared" si="29"/>
        <v>17.54904168377551</v>
      </c>
      <c r="U60" s="141">
        <f t="shared" si="29"/>
        <v>18.878511439328122</v>
      </c>
      <c r="W60" s="142"/>
    </row>
    <row r="61" spans="2:23" ht="15.75" customHeight="1">
      <c r="B61" s="133" t="s">
        <v>168</v>
      </c>
      <c r="C61" s="134">
        <f t="shared" ref="C61:U61" si="30">+C18/C$42*100</f>
        <v>8.7725898892609475</v>
      </c>
      <c r="D61" s="134">
        <f t="shared" si="30"/>
        <v>6.519157185552606</v>
      </c>
      <c r="E61" s="134">
        <f t="shared" si="30"/>
        <v>8.8647058823529417</v>
      </c>
      <c r="F61" s="135">
        <f t="shared" si="30"/>
        <v>8.3211574783507363</v>
      </c>
      <c r="G61" s="135">
        <f t="shared" si="30"/>
        <v>8.7449315155965639</v>
      </c>
      <c r="H61" s="135">
        <f t="shared" si="30"/>
        <v>8.6311734764066568</v>
      </c>
      <c r="I61" s="135">
        <f t="shared" si="30"/>
        <v>10.536492541894299</v>
      </c>
      <c r="J61" s="135">
        <f t="shared" si="30"/>
        <v>10.079743936425595</v>
      </c>
      <c r="K61" s="135">
        <f t="shared" si="30"/>
        <v>8.7505955956992807</v>
      </c>
      <c r="L61" s="135">
        <f t="shared" si="30"/>
        <v>11.087473407583531</v>
      </c>
      <c r="M61" s="136">
        <f t="shared" si="30"/>
        <v>9.6987766012131171</v>
      </c>
      <c r="N61" s="135">
        <f t="shared" si="30"/>
        <v>11.371645744558332</v>
      </c>
      <c r="O61" s="140">
        <f t="shared" si="30"/>
        <v>12.522968503426357</v>
      </c>
      <c r="P61" s="135">
        <f t="shared" si="30"/>
        <v>9.6657900694891943</v>
      </c>
      <c r="Q61" s="135">
        <f t="shared" si="30"/>
        <v>12.253187880818277</v>
      </c>
      <c r="R61" s="135">
        <f t="shared" si="30"/>
        <v>12.739078857000147</v>
      </c>
      <c r="S61" s="135">
        <f t="shared" si="30"/>
        <v>11.840946509936055</v>
      </c>
      <c r="T61" s="135">
        <f t="shared" si="30"/>
        <v>11.487495245790276</v>
      </c>
      <c r="U61" s="141">
        <f t="shared" si="30"/>
        <v>10.487257457283523</v>
      </c>
      <c r="W61" s="142"/>
    </row>
    <row r="62" spans="2:23" ht="15.75" customHeight="1">
      <c r="B62" s="133" t="s">
        <v>169</v>
      </c>
      <c r="C62" s="134">
        <f t="shared" ref="C62:U62" si="31">+C19/C$42*100</f>
        <v>0.26252973316444483</v>
      </c>
      <c r="D62" s="134">
        <f t="shared" si="31"/>
        <v>0.18668046825684118</v>
      </c>
      <c r="E62" s="134">
        <f t="shared" si="31"/>
        <v>0.23803921568627454</v>
      </c>
      <c r="F62" s="135">
        <f t="shared" si="31"/>
        <v>0.256583870852785</v>
      </c>
      <c r="G62" s="135">
        <f t="shared" si="31"/>
        <v>0.19475751093515531</v>
      </c>
      <c r="H62" s="135">
        <f t="shared" si="31"/>
        <v>0.21185857752097947</v>
      </c>
      <c r="I62" s="135">
        <f t="shared" si="31"/>
        <v>0.2854336750352956</v>
      </c>
      <c r="J62" s="135">
        <f t="shared" si="31"/>
        <v>0.26213404707375626</v>
      </c>
      <c r="K62" s="135">
        <f t="shared" si="31"/>
        <v>0.2113069959188747</v>
      </c>
      <c r="L62" s="135">
        <f t="shared" si="31"/>
        <v>0.29032661744462518</v>
      </c>
      <c r="M62" s="136">
        <f t="shared" si="31"/>
        <v>0.26318494911072271</v>
      </c>
      <c r="N62" s="135">
        <f t="shared" si="31"/>
        <v>0.29713232753656571</v>
      </c>
      <c r="O62" s="140">
        <f t="shared" si="31"/>
        <v>0.30912903435007238</v>
      </c>
      <c r="P62" s="135">
        <f t="shared" si="31"/>
        <v>0.26820390463087135</v>
      </c>
      <c r="Q62" s="135">
        <f t="shared" si="31"/>
        <v>0.31198308172281669</v>
      </c>
      <c r="R62" s="135">
        <f t="shared" si="31"/>
        <v>0.2747195571187746</v>
      </c>
      <c r="S62" s="135">
        <f t="shared" si="31"/>
        <v>0.25270896351035721</v>
      </c>
      <c r="T62" s="135">
        <f t="shared" si="31"/>
        <v>0.27702141428514659</v>
      </c>
      <c r="U62" s="141">
        <f t="shared" si="31"/>
        <v>0.26788300028960327</v>
      </c>
      <c r="W62" s="142"/>
    </row>
    <row r="63" spans="2:23" ht="15.75" customHeight="1">
      <c r="B63" s="133" t="s">
        <v>730</v>
      </c>
      <c r="C63" s="134"/>
      <c r="D63" s="134"/>
      <c r="E63" s="134"/>
      <c r="F63" s="135"/>
      <c r="G63" s="135"/>
      <c r="H63" s="135"/>
      <c r="I63" s="135"/>
      <c r="J63" s="135"/>
      <c r="K63" s="135"/>
      <c r="L63" s="135"/>
      <c r="M63" s="136"/>
      <c r="N63" s="135"/>
      <c r="O63" s="140"/>
      <c r="P63" s="135"/>
      <c r="Q63" s="135"/>
      <c r="R63" s="135"/>
      <c r="S63" s="135"/>
      <c r="T63" s="135">
        <f t="shared" ref="T63:U68" si="32">+T20/T$42*100</f>
        <v>0.10955969868244525</v>
      </c>
      <c r="U63" s="141">
        <f t="shared" si="32"/>
        <v>0.333043730089777</v>
      </c>
      <c r="W63" s="142"/>
    </row>
    <row r="64" spans="2:23" ht="15.75" customHeight="1">
      <c r="B64" s="133" t="s">
        <v>170</v>
      </c>
      <c r="C64" s="134">
        <f t="shared" ref="C64:S64" si="33">+C21/C$42*100</f>
        <v>1.7737478627655086</v>
      </c>
      <c r="D64" s="134">
        <f t="shared" si="33"/>
        <v>1.3854443084894736</v>
      </c>
      <c r="E64" s="134">
        <f t="shared" si="33"/>
        <v>2.3031372549019604</v>
      </c>
      <c r="F64" s="135">
        <f t="shared" si="33"/>
        <v>2.8794412173479205</v>
      </c>
      <c r="G64" s="135">
        <f t="shared" si="33"/>
        <v>2.8511222502474376</v>
      </c>
      <c r="H64" s="135">
        <f t="shared" si="33"/>
        <v>3.1778786628146927</v>
      </c>
      <c r="I64" s="135">
        <f t="shared" si="33"/>
        <v>4.4257565526978082</v>
      </c>
      <c r="J64" s="135">
        <f t="shared" si="33"/>
        <v>4.1637923898347182</v>
      </c>
      <c r="K64" s="135">
        <f t="shared" si="33"/>
        <v>2.0757804893207101</v>
      </c>
      <c r="L64" s="135">
        <f t="shared" si="33"/>
        <v>3.2111125015642603</v>
      </c>
      <c r="M64" s="136">
        <f t="shared" si="33"/>
        <v>3.5735581371440324</v>
      </c>
      <c r="N64" s="135">
        <f t="shared" si="33"/>
        <v>3.9871012322929862</v>
      </c>
      <c r="O64" s="140">
        <f t="shared" si="33"/>
        <v>3.8932964396117509</v>
      </c>
      <c r="P64" s="135">
        <f t="shared" si="33"/>
        <v>2.5078806666782771</v>
      </c>
      <c r="Q64" s="135">
        <f t="shared" si="33"/>
        <v>2.2906677275487346</v>
      </c>
      <c r="R64" s="135">
        <f t="shared" si="33"/>
        <v>1.948011405024038</v>
      </c>
      <c r="S64" s="135">
        <f t="shared" si="33"/>
        <v>2.8487192250258451</v>
      </c>
      <c r="T64" s="135">
        <f t="shared" si="32"/>
        <v>2.1202356195799639</v>
      </c>
      <c r="U64" s="141">
        <f t="shared" si="32"/>
        <v>2.5195482189400522</v>
      </c>
      <c r="W64" s="142"/>
    </row>
    <row r="65" spans="2:23" ht="15.75" customHeight="1">
      <c r="B65" s="133" t="s">
        <v>171</v>
      </c>
      <c r="C65" s="134">
        <f t="shared" ref="C65:S65" si="34">+C22/C$42*100</f>
        <v>1.6541881435218282</v>
      </c>
      <c r="D65" s="134">
        <f t="shared" si="34"/>
        <v>1.0964485835918636</v>
      </c>
      <c r="E65" s="134">
        <f t="shared" si="34"/>
        <v>1.2494117647058824</v>
      </c>
      <c r="F65" s="135">
        <f t="shared" si="34"/>
        <v>1.1082997754891131</v>
      </c>
      <c r="G65" s="135">
        <f t="shared" si="34"/>
        <v>1.1621595734491235</v>
      </c>
      <c r="H65" s="135">
        <f t="shared" si="34"/>
        <v>1.2959141560049525</v>
      </c>
      <c r="I65" s="135">
        <f t="shared" si="34"/>
        <v>1.5008286784113929</v>
      </c>
      <c r="J65" s="135">
        <f t="shared" si="34"/>
        <v>1.6059159515465908</v>
      </c>
      <c r="K65" s="135">
        <f t="shared" si="34"/>
        <v>1.1518302914793563</v>
      </c>
      <c r="L65" s="135">
        <f t="shared" si="34"/>
        <v>1.4966837692403954</v>
      </c>
      <c r="M65" s="136">
        <f t="shared" si="34"/>
        <v>1.1987251979027449</v>
      </c>
      <c r="N65" s="135">
        <f t="shared" si="34"/>
        <v>1.6123459633767132</v>
      </c>
      <c r="O65" s="140">
        <f t="shared" si="34"/>
        <v>1.4224259063101232</v>
      </c>
      <c r="P65" s="135">
        <f t="shared" si="34"/>
        <v>1.4228739615806616</v>
      </c>
      <c r="Q65" s="135">
        <f t="shared" si="34"/>
        <v>1.9116815678720243</v>
      </c>
      <c r="R65" s="135">
        <f t="shared" si="34"/>
        <v>1.610855584923724</v>
      </c>
      <c r="S65" s="135">
        <f t="shared" si="34"/>
        <v>1.4626488494084311</v>
      </c>
      <c r="T65" s="135">
        <f t="shared" si="32"/>
        <v>1.4042185214549676</v>
      </c>
      <c r="U65" s="141">
        <f t="shared" si="32"/>
        <v>1.3249348392702001</v>
      </c>
      <c r="W65" s="142"/>
    </row>
    <row r="66" spans="2:23" ht="29.25" customHeight="1">
      <c r="B66" s="143" t="s">
        <v>172</v>
      </c>
      <c r="C66" s="134">
        <f t="shared" ref="C66:S66" si="35">+C23/C$42*100</f>
        <v>8.4343947393723546</v>
      </c>
      <c r="D66" s="134">
        <f t="shared" si="35"/>
        <v>7.1868988604713069</v>
      </c>
      <c r="E66" s="134">
        <f t="shared" si="35"/>
        <v>6.5772549019607842</v>
      </c>
      <c r="F66" s="135">
        <f t="shared" si="35"/>
        <v>5.5664445315562521</v>
      </c>
      <c r="G66" s="135">
        <f t="shared" si="35"/>
        <v>6.7175377542224064</v>
      </c>
      <c r="H66" s="135">
        <f t="shared" si="35"/>
        <v>5.9320401705874257</v>
      </c>
      <c r="I66" s="135">
        <f t="shared" si="35"/>
        <v>4.1065619053465108</v>
      </c>
      <c r="J66" s="135">
        <f t="shared" si="35"/>
        <v>5.2371623299577834</v>
      </c>
      <c r="K66" s="135">
        <f t="shared" si="35"/>
        <v>4.182635536864785</v>
      </c>
      <c r="L66" s="135">
        <f t="shared" si="35"/>
        <v>5.205856588662245</v>
      </c>
      <c r="M66" s="136">
        <f t="shared" si="35"/>
        <v>4.2047907885267817</v>
      </c>
      <c r="N66" s="135">
        <f t="shared" si="35"/>
        <v>5.5211332488771161</v>
      </c>
      <c r="O66" s="140">
        <f t="shared" si="35"/>
        <v>5.5318964958170298</v>
      </c>
      <c r="P66" s="135">
        <f t="shared" si="35"/>
        <v>3.826259600480677</v>
      </c>
      <c r="Q66" s="135">
        <f t="shared" si="35"/>
        <v>4.797001612261564</v>
      </c>
      <c r="R66" s="135">
        <f t="shared" si="35"/>
        <v>4.1540926970384406</v>
      </c>
      <c r="S66" s="135">
        <f t="shared" si="35"/>
        <v>4.8589041620400497</v>
      </c>
      <c r="T66" s="135">
        <f t="shared" si="32"/>
        <v>4.054087295805509</v>
      </c>
      <c r="U66" s="141">
        <f t="shared" si="32"/>
        <v>4.2463075586446575</v>
      </c>
      <c r="W66" s="142"/>
    </row>
    <row r="67" spans="2:23" ht="32.25" customHeight="1">
      <c r="B67" s="143" t="s">
        <v>173</v>
      </c>
      <c r="C67" s="134">
        <f t="shared" ref="C67:S67" si="36">+C24/C$42*100</f>
        <v>0.17097875933799034</v>
      </c>
      <c r="D67" s="134">
        <f t="shared" si="36"/>
        <v>0.16304624230765777</v>
      </c>
      <c r="E67" s="134">
        <f t="shared" si="36"/>
        <v>0.22549019607843138</v>
      </c>
      <c r="F67" s="135">
        <f t="shared" si="36"/>
        <v>0.19600156801254409</v>
      </c>
      <c r="G67" s="135">
        <f t="shared" si="36"/>
        <v>0.70240413779892086</v>
      </c>
      <c r="H67" s="135">
        <f t="shared" si="36"/>
        <v>0.68785252441876465</v>
      </c>
      <c r="I67" s="135">
        <f t="shared" si="36"/>
        <v>0.59542078448222946</v>
      </c>
      <c r="J67" s="135">
        <f t="shared" si="36"/>
        <v>0.24281890676305845</v>
      </c>
      <c r="K67" s="135">
        <f t="shared" si="36"/>
        <v>0.18851898655507449</v>
      </c>
      <c r="L67" s="135">
        <f t="shared" si="36"/>
        <v>0.45050682017269428</v>
      </c>
      <c r="M67" s="136">
        <f t="shared" si="36"/>
        <v>0.32692505397347593</v>
      </c>
      <c r="N67" s="135">
        <f t="shared" si="36"/>
        <v>0.27870551652654613</v>
      </c>
      <c r="O67" s="140">
        <f t="shared" si="36"/>
        <v>0.33506993233749105</v>
      </c>
      <c r="P67" s="135">
        <f t="shared" si="36"/>
        <v>0.22988906111217539</v>
      </c>
      <c r="Q67" s="135">
        <f t="shared" si="36"/>
        <v>0.29523231223434326</v>
      </c>
      <c r="R67" s="135">
        <f t="shared" si="36"/>
        <v>0.50365252138442007</v>
      </c>
      <c r="S67" s="135">
        <f t="shared" si="36"/>
        <v>0.40203698740284105</v>
      </c>
      <c r="T67" s="135">
        <f t="shared" si="32"/>
        <v>0.20757683843634278</v>
      </c>
      <c r="U67" s="141">
        <f t="shared" si="32"/>
        <v>0.1991022299449754</v>
      </c>
      <c r="W67" s="142"/>
    </row>
    <row r="68" spans="2:23" ht="15.75" customHeight="1">
      <c r="B68" s="133" t="s">
        <v>174</v>
      </c>
      <c r="C68" s="134">
        <f t="shared" ref="C68:S68" si="37">+C25/C$42*100</f>
        <v>0</v>
      </c>
      <c r="D68" s="134">
        <f t="shared" si="37"/>
        <v>0</v>
      </c>
      <c r="E68" s="134">
        <f t="shared" si="37"/>
        <v>0</v>
      </c>
      <c r="F68" s="135">
        <f t="shared" si="37"/>
        <v>0</v>
      </c>
      <c r="G68" s="135">
        <f t="shared" si="37"/>
        <v>0.12451709715526325</v>
      </c>
      <c r="H68" s="135">
        <f t="shared" si="37"/>
        <v>0.35493190260008256</v>
      </c>
      <c r="I68" s="135">
        <f t="shared" si="37"/>
        <v>0.4174083849978516</v>
      </c>
      <c r="J68" s="135">
        <f t="shared" si="37"/>
        <v>0.3918214177312988</v>
      </c>
      <c r="K68" s="135">
        <f t="shared" si="37"/>
        <v>0.26309792629114787</v>
      </c>
      <c r="L68" s="135">
        <f t="shared" si="37"/>
        <v>0.32536603679139031</v>
      </c>
      <c r="M68" s="136">
        <f t="shared" si="37"/>
        <v>0.28169014084507038</v>
      </c>
      <c r="N68" s="135">
        <f t="shared" si="37"/>
        <v>0.36623286882413914</v>
      </c>
      <c r="O68" s="140">
        <f t="shared" si="37"/>
        <v>0.33074644933958797</v>
      </c>
      <c r="P68" s="135">
        <f t="shared" si="37"/>
        <v>0.32567616990891518</v>
      </c>
      <c r="Q68" s="135">
        <f t="shared" si="37"/>
        <v>0.3392030821415859</v>
      </c>
      <c r="R68" s="135">
        <f t="shared" si="37"/>
        <v>0.36004911652687888</v>
      </c>
      <c r="S68" s="135">
        <f t="shared" si="37"/>
        <v>0.37906344526553581</v>
      </c>
      <c r="T68" s="135">
        <f t="shared" si="32"/>
        <v>0.34627676785643324</v>
      </c>
      <c r="U68" s="141">
        <f t="shared" si="32"/>
        <v>0.35476397335650167</v>
      </c>
      <c r="W68" s="142"/>
    </row>
    <row r="69" spans="2:23" ht="21" customHeight="1">
      <c r="B69" s="126" t="s">
        <v>175</v>
      </c>
      <c r="C69" s="127">
        <f>SUM(C70:C72)</f>
        <v>1.4309542621367748</v>
      </c>
      <c r="D69" s="127">
        <f t="shared" ref="D69:M69" si="38">SUM(D70:D72)</f>
        <v>1.0533684755325927</v>
      </c>
      <c r="E69" s="127">
        <f t="shared" si="38"/>
        <v>1.3937254901960783</v>
      </c>
      <c r="F69" s="128">
        <f t="shared" si="38"/>
        <v>1.2900466840098357</v>
      </c>
      <c r="G69" s="128">
        <f t="shared" si="38"/>
        <v>1.2866766706043868</v>
      </c>
      <c r="H69" s="128">
        <f t="shared" si="38"/>
        <v>1.1583436511211995</v>
      </c>
      <c r="I69" s="128">
        <f t="shared" si="38"/>
        <v>1.5836965195506725</v>
      </c>
      <c r="J69" s="128">
        <f t="shared" si="38"/>
        <v>1.6859358185480535</v>
      </c>
      <c r="K69" s="128">
        <f t="shared" si="38"/>
        <v>1.3900685711918128</v>
      </c>
      <c r="L69" s="128">
        <f t="shared" si="38"/>
        <v>1.5242147415842824</v>
      </c>
      <c r="M69" s="129">
        <f t="shared" si="38"/>
        <v>1.3426544669476714</v>
      </c>
      <c r="N69" s="128">
        <f t="shared" ref="N69:U69" si="39">SUM(N70:N72)</f>
        <v>1.4649314752965568</v>
      </c>
      <c r="O69" s="130">
        <f t="shared" si="39"/>
        <v>1.5024103417713308</v>
      </c>
      <c r="P69" s="128">
        <f t="shared" si="39"/>
        <v>1.3654016963026179</v>
      </c>
      <c r="Q69" s="128">
        <f t="shared" si="39"/>
        <v>1.7441738729872902</v>
      </c>
      <c r="R69" s="128">
        <f t="shared" si="39"/>
        <v>1.7253220670565468</v>
      </c>
      <c r="S69" s="128">
        <f t="shared" ref="S69:T69" si="40">SUM(S70:S72)</f>
        <v>1.9048895355515563</v>
      </c>
      <c r="T69" s="128">
        <f t="shared" si="40"/>
        <v>1.8710298800898426</v>
      </c>
      <c r="U69" s="131">
        <f t="shared" si="39"/>
        <v>1.6109180422820737</v>
      </c>
      <c r="W69" s="142"/>
    </row>
    <row r="70" spans="2:23" ht="21" customHeight="1">
      <c r="B70" s="133" t="s">
        <v>176</v>
      </c>
      <c r="C70" s="134">
        <f t="shared" ref="C70:U70" si="41">+C27/C$42*100</f>
        <v>0.77253972434378027</v>
      </c>
      <c r="D70" s="134">
        <f t="shared" si="41"/>
        <v>0.57200810145365444</v>
      </c>
      <c r="E70" s="134">
        <f t="shared" si="41"/>
        <v>0.76431372549019605</v>
      </c>
      <c r="F70" s="135">
        <f t="shared" si="41"/>
        <v>0.69847831509924807</v>
      </c>
      <c r="G70" s="135">
        <f t="shared" si="41"/>
        <v>0.62577823185722048</v>
      </c>
      <c r="H70" s="135">
        <f t="shared" si="41"/>
        <v>0.5888017609024625</v>
      </c>
      <c r="I70" s="135">
        <f t="shared" si="41"/>
        <v>0.8931311767233443</v>
      </c>
      <c r="J70" s="135">
        <f t="shared" si="41"/>
        <v>1.0402582710190118</v>
      </c>
      <c r="K70" s="135">
        <f t="shared" si="41"/>
        <v>0.85558616974995338</v>
      </c>
      <c r="L70" s="135">
        <f t="shared" si="41"/>
        <v>0.89350519334251044</v>
      </c>
      <c r="M70" s="136">
        <f t="shared" si="41"/>
        <v>0.77721805284260304</v>
      </c>
      <c r="N70" s="135">
        <f t="shared" si="41"/>
        <v>0.79004952205458945</v>
      </c>
      <c r="O70" s="140">
        <f t="shared" si="41"/>
        <v>0.84740266758900962</v>
      </c>
      <c r="P70" s="135">
        <f t="shared" si="41"/>
        <v>0.77500478935543993</v>
      </c>
      <c r="Q70" s="135">
        <f t="shared" si="41"/>
        <v>1.0238907849829351</v>
      </c>
      <c r="R70" s="135">
        <f t="shared" si="41"/>
        <v>0.99273658140648113</v>
      </c>
      <c r="S70" s="135">
        <f t="shared" si="41"/>
        <v>1.2214266569667265</v>
      </c>
      <c r="T70" s="135">
        <f t="shared" si="41"/>
        <v>1.1406318888735407</v>
      </c>
      <c r="U70" s="141">
        <f t="shared" si="41"/>
        <v>0.92311033883579507</v>
      </c>
      <c r="W70" s="142"/>
    </row>
    <row r="71" spans="2:23" ht="21" customHeight="1">
      <c r="B71" s="133" t="s">
        <v>177</v>
      </c>
      <c r="C71" s="134">
        <f t="shared" ref="C71:U71" si="42">+C28/C$42*100</f>
        <v>0.52255122047063063</v>
      </c>
      <c r="D71" s="134">
        <f t="shared" si="42"/>
        <v>0.37395927134783891</v>
      </c>
      <c r="E71" s="134">
        <f t="shared" si="42"/>
        <v>0.49137254901960781</v>
      </c>
      <c r="F71" s="135">
        <f t="shared" si="42"/>
        <v>0.45258543886532909</v>
      </c>
      <c r="G71" s="135">
        <f t="shared" si="42"/>
        <v>0.5363813415919032</v>
      </c>
      <c r="H71" s="135">
        <f t="shared" si="42"/>
        <v>0.45123125601870956</v>
      </c>
      <c r="I71" s="135">
        <f t="shared" si="42"/>
        <v>0.56165981216622685</v>
      </c>
      <c r="J71" s="135">
        <f t="shared" si="42"/>
        <v>0.49391573080213014</v>
      </c>
      <c r="K71" s="135">
        <f t="shared" si="42"/>
        <v>0.40396925690373103</v>
      </c>
      <c r="L71" s="135">
        <f t="shared" si="42"/>
        <v>0.46302089851082467</v>
      </c>
      <c r="M71" s="136">
        <f t="shared" si="42"/>
        <v>0.40094582091086667</v>
      </c>
      <c r="N71" s="135">
        <f t="shared" si="42"/>
        <v>0.47909708626050912</v>
      </c>
      <c r="O71" s="140">
        <f t="shared" si="42"/>
        <v>0.46909790527248746</v>
      </c>
      <c r="P71" s="135">
        <f t="shared" si="42"/>
        <v>0.43713753287239426</v>
      </c>
      <c r="Q71" s="135">
        <f t="shared" si="42"/>
        <v>0.5276492388869114</v>
      </c>
      <c r="R71" s="135">
        <f t="shared" si="42"/>
        <v>0.52862702657703597</v>
      </c>
      <c r="S71" s="135">
        <f t="shared" si="42"/>
        <v>0.49967454148638812</v>
      </c>
      <c r="T71" s="135">
        <f t="shared" si="42"/>
        <v>0.5495014939098809</v>
      </c>
      <c r="U71" s="141">
        <f t="shared" si="42"/>
        <v>0.52490587894584417</v>
      </c>
      <c r="W71" s="142"/>
    </row>
    <row r="72" spans="2:23" ht="33" customHeight="1">
      <c r="B72" s="143" t="s">
        <v>178</v>
      </c>
      <c r="C72" s="134">
        <f t="shared" ref="C72:U72" si="43">+C29/C$42*100</f>
        <v>0.13586331732236395</v>
      </c>
      <c r="D72" s="134">
        <f t="shared" si="43"/>
        <v>0.10740110273109932</v>
      </c>
      <c r="E72" s="134">
        <f t="shared" si="43"/>
        <v>0.1380392156862745</v>
      </c>
      <c r="F72" s="135">
        <f t="shared" si="43"/>
        <v>0.13898293004525855</v>
      </c>
      <c r="G72" s="135">
        <f t="shared" si="43"/>
        <v>0.12451709715526325</v>
      </c>
      <c r="H72" s="135">
        <f t="shared" si="43"/>
        <v>0.11831063420002751</v>
      </c>
      <c r="I72" s="135">
        <f t="shared" si="43"/>
        <v>0.12890553066110122</v>
      </c>
      <c r="J72" s="135">
        <f t="shared" si="43"/>
        <v>0.1517618167269115</v>
      </c>
      <c r="K72" s="135">
        <f t="shared" si="43"/>
        <v>0.13051314453812851</v>
      </c>
      <c r="L72" s="135">
        <f t="shared" si="43"/>
        <v>0.16768864973094733</v>
      </c>
      <c r="M72" s="136">
        <f t="shared" si="43"/>
        <v>0.16449059319420173</v>
      </c>
      <c r="N72" s="135">
        <f t="shared" si="43"/>
        <v>0.19578486698145803</v>
      </c>
      <c r="O72" s="140">
        <f t="shared" si="43"/>
        <v>0.18590976890983374</v>
      </c>
      <c r="P72" s="135">
        <f t="shared" si="43"/>
        <v>0.15325937407478363</v>
      </c>
      <c r="Q72" s="135">
        <f t="shared" si="43"/>
        <v>0.19263384911744383</v>
      </c>
      <c r="R72" s="135">
        <f t="shared" si="43"/>
        <v>0.20395845907302965</v>
      </c>
      <c r="S72" s="135">
        <f t="shared" si="43"/>
        <v>0.18378833709844158</v>
      </c>
      <c r="T72" s="135">
        <f t="shared" si="43"/>
        <v>0.18089649730642085</v>
      </c>
      <c r="U72" s="141">
        <f t="shared" si="43"/>
        <v>0.16290182450043442</v>
      </c>
      <c r="W72" s="142"/>
    </row>
    <row r="73" spans="2:23" ht="19.5" customHeight="1">
      <c r="B73" s="126" t="s">
        <v>179</v>
      </c>
      <c r="C73" s="127">
        <f>SUM(C74:C79)</f>
        <v>1.1491946440590111</v>
      </c>
      <c r="D73" s="127">
        <f t="shared" ref="D73:M73" si="44">SUM(D74:D79)</f>
        <v>1.3283033318275237</v>
      </c>
      <c r="E73" s="127">
        <f t="shared" si="44"/>
        <v>1.7568627450980392</v>
      </c>
      <c r="F73" s="128">
        <f t="shared" si="44"/>
        <v>1.3114286732475677</v>
      </c>
      <c r="G73" s="128">
        <f t="shared" si="44"/>
        <v>1.0695699371029022</v>
      </c>
      <c r="H73" s="128">
        <f t="shared" si="44"/>
        <v>1.1170724996560737</v>
      </c>
      <c r="I73" s="128">
        <f t="shared" si="44"/>
        <v>1.3872690442575655</v>
      </c>
      <c r="J73" s="128">
        <f t="shared" si="44"/>
        <v>1.4955437211997462</v>
      </c>
      <c r="K73" s="128">
        <f t="shared" si="44"/>
        <v>1.0896811750326285</v>
      </c>
      <c r="L73" s="128">
        <f t="shared" si="44"/>
        <v>1.4566387185583782</v>
      </c>
      <c r="M73" s="129">
        <f t="shared" si="44"/>
        <v>1.2254549192968027</v>
      </c>
      <c r="N73" s="128">
        <f t="shared" ref="N73:U73" si="45">SUM(N74:N79)</f>
        <v>1.2967868248301277</v>
      </c>
      <c r="O73" s="130">
        <f t="shared" si="45"/>
        <v>1.3554119198426249</v>
      </c>
      <c r="P73" s="128">
        <f t="shared" si="45"/>
        <v>1.0867482888939202</v>
      </c>
      <c r="Q73" s="128">
        <f t="shared" si="45"/>
        <v>1.2772461734960949</v>
      </c>
      <c r="R73" s="128">
        <f t="shared" si="45"/>
        <v>1.3423796541031032</v>
      </c>
      <c r="S73" s="128">
        <f t="shared" ref="S73:T73" si="46">SUM(S74:S79)</f>
        <v>1.2309989661906038</v>
      </c>
      <c r="T73" s="128">
        <f t="shared" si="46"/>
        <v>1.298632490600383</v>
      </c>
      <c r="U73" s="131">
        <f t="shared" si="45"/>
        <v>1.096872284969592</v>
      </c>
      <c r="W73" s="142"/>
    </row>
    <row r="74" spans="2:23" ht="19.5" customHeight="1">
      <c r="B74" s="133" t="s">
        <v>180</v>
      </c>
      <c r="C74" s="134">
        <f t="shared" ref="C74:U74" si="47">+C31/C$42*100</f>
        <v>0.55348625272249197</v>
      </c>
      <c r="D74" s="134">
        <f t="shared" si="47"/>
        <v>0.41883438390957961</v>
      </c>
      <c r="E74" s="134">
        <f t="shared" si="47"/>
        <v>0.70901960784313711</v>
      </c>
      <c r="F74" s="135">
        <f t="shared" si="47"/>
        <v>0.61651402302127511</v>
      </c>
      <c r="G74" s="135">
        <f t="shared" si="47"/>
        <v>0.61300724753360369</v>
      </c>
      <c r="H74" s="135">
        <f t="shared" si="47"/>
        <v>0.63282432246526343</v>
      </c>
      <c r="I74" s="135">
        <f t="shared" si="47"/>
        <v>0.7580872874593334</v>
      </c>
      <c r="J74" s="135">
        <f t="shared" si="47"/>
        <v>0.75880908363455757</v>
      </c>
      <c r="K74" s="135">
        <f t="shared" si="47"/>
        <v>0.6525657226906425</v>
      </c>
      <c r="L74" s="135">
        <f t="shared" si="47"/>
        <v>0.8034038293079715</v>
      </c>
      <c r="M74" s="136">
        <f t="shared" si="47"/>
        <v>0.69908502107535719</v>
      </c>
      <c r="N74" s="135">
        <f t="shared" si="47"/>
        <v>0.76931935966831733</v>
      </c>
      <c r="O74" s="140">
        <f t="shared" si="47"/>
        <v>0.78687390561836601</v>
      </c>
      <c r="P74" s="135">
        <f t="shared" si="47"/>
        <v>0.63393650185478678</v>
      </c>
      <c r="Q74" s="135">
        <f t="shared" si="47"/>
        <v>0.753784626981302</v>
      </c>
      <c r="R74" s="135">
        <f t="shared" si="47"/>
        <v>0.78253449603529734</v>
      </c>
      <c r="S74" s="135">
        <f t="shared" si="47"/>
        <v>0.72175211548033846</v>
      </c>
      <c r="T74" s="135">
        <f t="shared" si="47"/>
        <v>0.71980154367533988</v>
      </c>
      <c r="U74" s="141">
        <f t="shared" si="47"/>
        <v>0.60092673037938038</v>
      </c>
      <c r="W74" s="142"/>
    </row>
    <row r="75" spans="2:23" ht="19.5" customHeight="1">
      <c r="B75" s="133" t="s">
        <v>181</v>
      </c>
      <c r="C75" s="134">
        <f t="shared" ref="C75:U75" si="48">+C32/C$42*100</f>
        <v>0.44395951691184771</v>
      </c>
      <c r="D75" s="134">
        <f t="shared" si="48"/>
        <v>0.78710947433293132</v>
      </c>
      <c r="E75" s="134">
        <f t="shared" si="48"/>
        <v>0.8988235294117648</v>
      </c>
      <c r="F75" s="135">
        <f t="shared" si="48"/>
        <v>0.54880439043512352</v>
      </c>
      <c r="G75" s="135">
        <f t="shared" si="48"/>
        <v>0.32566010025222691</v>
      </c>
      <c r="H75" s="135">
        <f t="shared" si="48"/>
        <v>0.36043472279543265</v>
      </c>
      <c r="I75" s="135">
        <f t="shared" si="48"/>
        <v>0.44196181940948992</v>
      </c>
      <c r="J75" s="135">
        <f t="shared" si="48"/>
        <v>0.56013906901023702</v>
      </c>
      <c r="K75" s="135">
        <f t="shared" si="48"/>
        <v>0.29417248451451183</v>
      </c>
      <c r="L75" s="135">
        <f t="shared" si="48"/>
        <v>0.47553497684895507</v>
      </c>
      <c r="M75" s="136">
        <f t="shared" si="48"/>
        <v>0.36804770227202627</v>
      </c>
      <c r="N75" s="135">
        <f t="shared" si="48"/>
        <v>0.35471611194287689</v>
      </c>
      <c r="O75" s="140">
        <f t="shared" si="48"/>
        <v>0.37181953781966748</v>
      </c>
      <c r="P75" s="135">
        <f t="shared" si="48"/>
        <v>0.28736132639021927</v>
      </c>
      <c r="Q75" s="135">
        <f t="shared" si="48"/>
        <v>0.31617077409493499</v>
      </c>
      <c r="R75" s="135">
        <f t="shared" si="48"/>
        <v>0.34548065516451959</v>
      </c>
      <c r="S75" s="135">
        <f t="shared" si="48"/>
        <v>0.31780066623272196</v>
      </c>
      <c r="T75" s="135">
        <f t="shared" si="48"/>
        <v>0.37314633126387226</v>
      </c>
      <c r="U75" s="141">
        <f t="shared" si="48"/>
        <v>0.30046336518969019</v>
      </c>
      <c r="W75" s="142"/>
    </row>
    <row r="76" spans="2:23" ht="19.5" customHeight="1">
      <c r="B76" s="133" t="s">
        <v>182</v>
      </c>
      <c r="C76" s="134">
        <f t="shared" ref="C76:U76" si="49">+C33/C$42*100</f>
        <v>5.8525736692710629E-3</v>
      </c>
      <c r="D76" s="134">
        <f t="shared" si="49"/>
        <v>6.5816831757219653E-3</v>
      </c>
      <c r="E76" s="134">
        <f t="shared" si="49"/>
        <v>8.6274509803921564E-3</v>
      </c>
      <c r="F76" s="135">
        <f t="shared" si="49"/>
        <v>1.0690994618866042E-2</v>
      </c>
      <c r="G76" s="135">
        <f t="shared" si="49"/>
        <v>6.3854921618083718E-3</v>
      </c>
      <c r="H76" s="135">
        <f t="shared" si="49"/>
        <v>8.2542302930251749E-3</v>
      </c>
      <c r="I76" s="135">
        <f t="shared" si="49"/>
        <v>1.5345896507273955E-2</v>
      </c>
      <c r="J76" s="135">
        <f t="shared" si="49"/>
        <v>1.6555834552026711E-2</v>
      </c>
      <c r="K76" s="135">
        <f t="shared" si="49"/>
        <v>1.242982328934557E-2</v>
      </c>
      <c r="L76" s="135">
        <f t="shared" si="49"/>
        <v>1.5016894005756475E-2</v>
      </c>
      <c r="M76" s="136">
        <f t="shared" si="49"/>
        <v>1.4392926904492648E-2</v>
      </c>
      <c r="N76" s="135">
        <f t="shared" si="49"/>
        <v>1.6123459633767132E-2</v>
      </c>
      <c r="O76" s="140">
        <f t="shared" si="49"/>
        <v>1.5132190492660885E-2</v>
      </c>
      <c r="P76" s="135">
        <f t="shared" si="49"/>
        <v>1.3932670370434875E-2</v>
      </c>
      <c r="Q76" s="135">
        <f t="shared" si="49"/>
        <v>1.4656923302414204E-2</v>
      </c>
      <c r="R76" s="135">
        <f t="shared" si="49"/>
        <v>1.6649670128410583E-2</v>
      </c>
      <c r="S76" s="135">
        <f t="shared" si="49"/>
        <v>1.5315694758203467E-2</v>
      </c>
      <c r="T76" s="135">
        <f t="shared" si="49"/>
        <v>1.513778220137413E-2</v>
      </c>
      <c r="U76" s="141">
        <f t="shared" si="49"/>
        <v>1.4480162177816393E-2</v>
      </c>
      <c r="W76" s="142"/>
    </row>
    <row r="77" spans="2:23" ht="19.5" customHeight="1">
      <c r="B77" s="133" t="s">
        <v>183</v>
      </c>
      <c r="C77" s="134">
        <f t="shared" ref="C77:U77" si="50">+C34/C$42*100</f>
        <v>0</v>
      </c>
      <c r="D77" s="134">
        <f t="shared" si="50"/>
        <v>0</v>
      </c>
      <c r="E77" s="134">
        <f t="shared" si="50"/>
        <v>0</v>
      </c>
      <c r="F77" s="135">
        <f t="shared" si="50"/>
        <v>0</v>
      </c>
      <c r="G77" s="135">
        <f t="shared" si="50"/>
        <v>0</v>
      </c>
      <c r="H77" s="135">
        <f t="shared" si="50"/>
        <v>5.5028201953501174E-3</v>
      </c>
      <c r="I77" s="135">
        <f t="shared" si="50"/>
        <v>3.6830151617457493E-2</v>
      </c>
      <c r="J77" s="135">
        <f t="shared" si="50"/>
        <v>3.8630280621395653E-2</v>
      </c>
      <c r="K77" s="135">
        <f t="shared" si="50"/>
        <v>2.6931283793582072E-2</v>
      </c>
      <c r="L77" s="135">
        <f t="shared" si="50"/>
        <v>3.5039419346765112E-2</v>
      </c>
      <c r="M77" s="136">
        <f t="shared" si="50"/>
        <v>2.4673588979130252E-2</v>
      </c>
      <c r="N77" s="135">
        <f t="shared" si="50"/>
        <v>2.3033513762524473E-2</v>
      </c>
      <c r="O77" s="140">
        <f t="shared" si="50"/>
        <v>4.3234829979031102E-2</v>
      </c>
      <c r="P77" s="135">
        <f t="shared" si="50"/>
        <v>3.4831675926087186E-2</v>
      </c>
      <c r="Q77" s="135">
        <f t="shared" si="50"/>
        <v>4.187692372118345E-2</v>
      </c>
      <c r="R77" s="135">
        <f t="shared" si="50"/>
        <v>0.12279131719702804</v>
      </c>
      <c r="S77" s="135">
        <f t="shared" si="50"/>
        <v>0.10912432515219971</v>
      </c>
      <c r="T77" s="135">
        <f t="shared" si="50"/>
        <v>4.6548680269225449E-2</v>
      </c>
      <c r="U77" s="141">
        <f t="shared" si="50"/>
        <v>3.982044598899509E-2</v>
      </c>
      <c r="W77" s="142"/>
    </row>
    <row r="78" spans="2:23" ht="19.5" customHeight="1">
      <c r="B78" s="133" t="s">
        <v>184</v>
      </c>
      <c r="C78" s="134"/>
      <c r="D78" s="134"/>
      <c r="E78" s="134"/>
      <c r="F78" s="135"/>
      <c r="G78" s="135"/>
      <c r="H78" s="135"/>
      <c r="I78" s="135"/>
      <c r="J78" s="135"/>
      <c r="K78" s="135"/>
      <c r="L78" s="135"/>
      <c r="M78" s="136"/>
      <c r="N78" s="135"/>
      <c r="O78" s="140">
        <f t="shared" ref="O78:U79" si="51">+O35/O$42*100</f>
        <v>1.2970448993709329E-2</v>
      </c>
      <c r="P78" s="135">
        <f t="shared" si="51"/>
        <v>1.5674254166739232E-2</v>
      </c>
      <c r="Q78" s="135">
        <f t="shared" si="51"/>
        <v>2.5126154232710068E-2</v>
      </c>
      <c r="R78" s="135">
        <f t="shared" si="51"/>
        <v>4.7867801619180424E-2</v>
      </c>
      <c r="S78" s="135">
        <f t="shared" si="51"/>
        <v>4.2118160585059537E-2</v>
      </c>
      <c r="T78" s="135">
        <f t="shared" si="51"/>
        <v>2.5734229742336023E-2</v>
      </c>
      <c r="U78" s="141">
        <f t="shared" si="51"/>
        <v>2.5340283811178685E-2</v>
      </c>
      <c r="W78" s="142"/>
    </row>
    <row r="79" spans="2:23" ht="19.5" customHeight="1">
      <c r="B79" s="133" t="s">
        <v>185</v>
      </c>
      <c r="C79" s="134">
        <f t="shared" ref="C79:N79" si="52">+C36/C$42*100</f>
        <v>0.14589630075540008</v>
      </c>
      <c r="D79" s="134">
        <f t="shared" si="52"/>
        <v>0.11577779040929093</v>
      </c>
      <c r="E79" s="134">
        <f t="shared" si="52"/>
        <v>0.14039215686274509</v>
      </c>
      <c r="F79" s="135">
        <f t="shared" si="52"/>
        <v>0.13541926517230321</v>
      </c>
      <c r="G79" s="135">
        <f t="shared" si="52"/>
        <v>0.12451709715526325</v>
      </c>
      <c r="H79" s="135">
        <f t="shared" si="52"/>
        <v>0.11005640390700233</v>
      </c>
      <c r="I79" s="135">
        <f t="shared" si="52"/>
        <v>0.13504388926401081</v>
      </c>
      <c r="J79" s="135">
        <f t="shared" si="52"/>
        <v>0.12140945338152923</v>
      </c>
      <c r="K79" s="135">
        <f t="shared" si="52"/>
        <v>0.10358186074454644</v>
      </c>
      <c r="L79" s="135">
        <f t="shared" si="52"/>
        <v>0.12764359904893005</v>
      </c>
      <c r="M79" s="136">
        <f t="shared" si="52"/>
        <v>0.11925568006579622</v>
      </c>
      <c r="N79" s="135">
        <f t="shared" si="52"/>
        <v>0.13359437982264194</v>
      </c>
      <c r="O79" s="140">
        <f t="shared" si="51"/>
        <v>0.12538100693919019</v>
      </c>
      <c r="P79" s="135">
        <f t="shared" si="51"/>
        <v>0.10101186018565284</v>
      </c>
      <c r="Q79" s="135">
        <f t="shared" si="51"/>
        <v>0.12563077116355031</v>
      </c>
      <c r="R79" s="135">
        <f t="shared" si="51"/>
        <v>2.7055713958667196E-2</v>
      </c>
      <c r="S79" s="135">
        <f t="shared" si="51"/>
        <v>2.4888003982080638E-2</v>
      </c>
      <c r="T79" s="135">
        <f t="shared" si="51"/>
        <v>0.1182639234482354</v>
      </c>
      <c r="U79" s="141">
        <f t="shared" si="51"/>
        <v>0.11584129742253114</v>
      </c>
      <c r="W79" s="142"/>
    </row>
    <row r="80" spans="2:23" ht="19.5" customHeight="1">
      <c r="B80" s="148" t="s">
        <v>186</v>
      </c>
      <c r="C80" s="149">
        <f>SUM(C49,C51,C53,C69,C73)</f>
        <v>68.053308585307548</v>
      </c>
      <c r="D80" s="149">
        <f t="shared" ref="D80:M80" si="53">SUM(D49,D51,D53,D69,D73)</f>
        <v>50.780976542282829</v>
      </c>
      <c r="E80" s="149">
        <f t="shared" si="53"/>
        <v>62.411764705882355</v>
      </c>
      <c r="F80" s="150">
        <f t="shared" si="53"/>
        <v>57.916681515270305</v>
      </c>
      <c r="G80" s="150">
        <f t="shared" si="53"/>
        <v>59.496823217649499</v>
      </c>
      <c r="H80" s="150">
        <f t="shared" si="53"/>
        <v>56.505709175952681</v>
      </c>
      <c r="I80" s="150">
        <f t="shared" si="53"/>
        <v>65.695782947639799</v>
      </c>
      <c r="J80" s="150">
        <f t="shared" si="53"/>
        <v>66.546176981871369</v>
      </c>
      <c r="K80" s="150">
        <f t="shared" si="53"/>
        <v>52.588510700006225</v>
      </c>
      <c r="L80" s="150">
        <f t="shared" si="53"/>
        <v>66.006757602302599</v>
      </c>
      <c r="M80" s="151">
        <f t="shared" si="53"/>
        <v>58.509303999177554</v>
      </c>
      <c r="N80" s="150">
        <f t="shared" ref="N80:U80" si="54">SUM(N49,N51,N53,N69,N73)</f>
        <v>69.130484855464687</v>
      </c>
      <c r="O80" s="152">
        <f t="shared" si="54"/>
        <v>69.525930089279925</v>
      </c>
      <c r="P80" s="150">
        <f t="shared" si="54"/>
        <v>54.264267925251232</v>
      </c>
      <c r="Q80" s="150">
        <f t="shared" si="54"/>
        <v>69.42775183735003</v>
      </c>
      <c r="R80" s="150">
        <f t="shared" si="54"/>
        <v>68.771462465399921</v>
      </c>
      <c r="S80" s="150">
        <f t="shared" ref="S80:T80" si="55">SUM(S49,S51,S53,S69,S73)</f>
        <v>66.946816249952121</v>
      </c>
      <c r="T80" s="150">
        <f t="shared" si="55"/>
        <v>63.813510092170162</v>
      </c>
      <c r="U80" s="153">
        <f t="shared" si="54"/>
        <v>62.648421662322626</v>
      </c>
      <c r="W80" s="142"/>
    </row>
    <row r="81" spans="2:23" ht="19.5" customHeight="1">
      <c r="B81" s="126" t="s">
        <v>187</v>
      </c>
      <c r="C81" s="127">
        <f t="shared" ref="C81:U81" si="56">SUM(C82:C84)</f>
        <v>31.94669141469247</v>
      </c>
      <c r="D81" s="127">
        <f t="shared" si="56"/>
        <v>49.219023457717157</v>
      </c>
      <c r="E81" s="127">
        <f t="shared" si="56"/>
        <v>37.588235294117645</v>
      </c>
      <c r="F81" s="128">
        <f t="shared" si="56"/>
        <v>42.083318484729695</v>
      </c>
      <c r="G81" s="128">
        <f t="shared" si="56"/>
        <v>40.503176782350508</v>
      </c>
      <c r="H81" s="128">
        <f t="shared" si="56"/>
        <v>43.494290824047326</v>
      </c>
      <c r="I81" s="128">
        <f t="shared" si="56"/>
        <v>34.304217052360201</v>
      </c>
      <c r="J81" s="128">
        <f t="shared" si="56"/>
        <v>33.453823018128645</v>
      </c>
      <c r="K81" s="128">
        <f t="shared" si="56"/>
        <v>47.411489299993789</v>
      </c>
      <c r="L81" s="128">
        <f t="shared" si="56"/>
        <v>33.993242397697415</v>
      </c>
      <c r="M81" s="129">
        <f t="shared" si="56"/>
        <v>41.490696000822453</v>
      </c>
      <c r="N81" s="128">
        <f t="shared" si="56"/>
        <v>30.869515144535299</v>
      </c>
      <c r="O81" s="130">
        <f t="shared" si="56"/>
        <v>30.474069910720072</v>
      </c>
      <c r="P81" s="128">
        <f t="shared" si="56"/>
        <v>45.735732074748775</v>
      </c>
      <c r="Q81" s="128">
        <f t="shared" si="56"/>
        <v>30.572248162649974</v>
      </c>
      <c r="R81" s="128">
        <f t="shared" si="56"/>
        <v>31.2285375346001</v>
      </c>
      <c r="S81" s="128">
        <f t="shared" si="56"/>
        <v>33.053183750047857</v>
      </c>
      <c r="T81" s="128">
        <f t="shared" si="56"/>
        <v>36.186489907829824</v>
      </c>
      <c r="U81" s="131">
        <f t="shared" si="56"/>
        <v>37.351578337677388</v>
      </c>
      <c r="W81" s="142"/>
    </row>
    <row r="82" spans="2:23" ht="19.5" customHeight="1">
      <c r="B82" s="133" t="s">
        <v>118</v>
      </c>
      <c r="C82" s="134">
        <f t="shared" ref="C82:U82" si="57">+C39/C$42*100</f>
        <v>13.929125332865128</v>
      </c>
      <c r="D82" s="134">
        <f t="shared" si="57"/>
        <v>32.573348371482155</v>
      </c>
      <c r="E82" s="134">
        <f t="shared" si="57"/>
        <v>16.521568627450982</v>
      </c>
      <c r="F82" s="135">
        <f t="shared" si="57"/>
        <v>19.881686326217881</v>
      </c>
      <c r="G82" s="135">
        <f t="shared" si="57"/>
        <v>18.517927269244279</v>
      </c>
      <c r="H82" s="135">
        <f t="shared" si="57"/>
        <v>24.019810152703261</v>
      </c>
      <c r="I82" s="135">
        <f t="shared" si="57"/>
        <v>22.263826652753053</v>
      </c>
      <c r="J82" s="135">
        <f t="shared" si="57"/>
        <v>19.09439585000414</v>
      </c>
      <c r="K82" s="135">
        <f t="shared" si="57"/>
        <v>30.705806799113343</v>
      </c>
      <c r="L82" s="135">
        <f t="shared" si="57"/>
        <v>19.386810161431612</v>
      </c>
      <c r="M82" s="136">
        <f t="shared" si="57"/>
        <v>28.83314485452863</v>
      </c>
      <c r="N82" s="135">
        <f t="shared" si="57"/>
        <v>17.093170563169412</v>
      </c>
      <c r="O82" s="140">
        <f t="shared" si="57"/>
        <v>16.625953868436412</v>
      </c>
      <c r="P82" s="135">
        <f t="shared" si="57"/>
        <v>34.01487312562044</v>
      </c>
      <c r="Q82" s="135">
        <f t="shared" si="57"/>
        <v>16.61885717875165</v>
      </c>
      <c r="R82" s="135">
        <f t="shared" si="57"/>
        <v>18.501945930196261</v>
      </c>
      <c r="S82" s="135">
        <f t="shared" si="57"/>
        <v>18.560707585097827</v>
      </c>
      <c r="T82" s="135">
        <f t="shared" si="57"/>
        <v>19.2575296274781</v>
      </c>
      <c r="U82" s="141">
        <f t="shared" si="57"/>
        <v>18.874891398783671</v>
      </c>
      <c r="W82" s="142"/>
    </row>
    <row r="83" spans="2:23" ht="19.5" customHeight="1">
      <c r="B83" s="133" t="s">
        <v>119</v>
      </c>
      <c r="C83" s="134">
        <f t="shared" ref="C83:U83" si="58">+C40/C$42*100</f>
        <v>5.5557645760437442</v>
      </c>
      <c r="D83" s="134">
        <f t="shared" si="58"/>
        <v>5.4867304292154921</v>
      </c>
      <c r="E83" s="134">
        <f t="shared" si="58"/>
        <v>5.2274509803921569</v>
      </c>
      <c r="F83" s="135">
        <f t="shared" si="58"/>
        <v>6.1366309112291084</v>
      </c>
      <c r="G83" s="135">
        <f t="shared" si="58"/>
        <v>3.60780307142173</v>
      </c>
      <c r="H83" s="135">
        <f t="shared" si="58"/>
        <v>2.9192461136332368</v>
      </c>
      <c r="I83" s="135">
        <f t="shared" si="58"/>
        <v>1.6696335399914064</v>
      </c>
      <c r="J83" s="135">
        <f t="shared" si="58"/>
        <v>1.6831765127893823</v>
      </c>
      <c r="K83" s="135">
        <f t="shared" si="58"/>
        <v>1.7008141534254524</v>
      </c>
      <c r="L83" s="135">
        <f t="shared" si="58"/>
        <v>1.4140908522087348</v>
      </c>
      <c r="M83" s="136">
        <f t="shared" si="58"/>
        <v>1.1740516089236148</v>
      </c>
      <c r="N83" s="135">
        <f t="shared" si="58"/>
        <v>0.80847633306460909</v>
      </c>
      <c r="O83" s="140">
        <f t="shared" si="58"/>
        <v>1.0289889535009402</v>
      </c>
      <c r="P83" s="135">
        <f t="shared" si="58"/>
        <v>1.0101186018565285</v>
      </c>
      <c r="Q83" s="135">
        <f t="shared" si="58"/>
        <v>0.79147385833036699</v>
      </c>
      <c r="R83" s="135">
        <f t="shared" si="58"/>
        <v>0.68263647526483384</v>
      </c>
      <c r="S83" s="135">
        <f t="shared" si="58"/>
        <v>1.5315694758203469</v>
      </c>
      <c r="T83" s="135">
        <f t="shared" si="58"/>
        <v>1.6687512654239807</v>
      </c>
      <c r="U83" s="141">
        <f t="shared" si="58"/>
        <v>1.7014190558934261</v>
      </c>
      <c r="W83" s="142"/>
    </row>
    <row r="84" spans="2:23" ht="19.5" customHeight="1">
      <c r="B84" s="155" t="s">
        <v>188</v>
      </c>
      <c r="C84" s="156">
        <f t="shared" ref="C84:U84" si="59">+C41/C$42*100</f>
        <v>12.461801505783598</v>
      </c>
      <c r="D84" s="156">
        <f t="shared" si="59"/>
        <v>11.158944657019513</v>
      </c>
      <c r="E84" s="156">
        <f t="shared" si="59"/>
        <v>15.839215686274507</v>
      </c>
      <c r="F84" s="157">
        <f t="shared" si="59"/>
        <v>16.065001247282705</v>
      </c>
      <c r="G84" s="157">
        <f t="shared" si="59"/>
        <v>18.377446441684494</v>
      </c>
      <c r="H84" s="157">
        <f t="shared" si="59"/>
        <v>16.555234557710826</v>
      </c>
      <c r="I84" s="157">
        <f t="shared" si="59"/>
        <v>10.370756859615739</v>
      </c>
      <c r="J84" s="157">
        <f t="shared" si="59"/>
        <v>12.676250655335117</v>
      </c>
      <c r="K84" s="157">
        <f t="shared" si="59"/>
        <v>15.004868347454995</v>
      </c>
      <c r="L84" s="157">
        <f t="shared" si="59"/>
        <v>13.192341384057066</v>
      </c>
      <c r="M84" s="157">
        <f t="shared" si="59"/>
        <v>11.483499537370207</v>
      </c>
      <c r="N84" s="157">
        <f t="shared" si="59"/>
        <v>12.967868248301279</v>
      </c>
      <c r="O84" s="172">
        <f t="shared" si="59"/>
        <v>12.819127088782722</v>
      </c>
      <c r="P84" s="157">
        <f t="shared" si="59"/>
        <v>10.710740347271809</v>
      </c>
      <c r="Q84" s="157">
        <f t="shared" si="59"/>
        <v>13.161917125567957</v>
      </c>
      <c r="R84" s="157">
        <f t="shared" si="59"/>
        <v>12.043955129139006</v>
      </c>
      <c r="S84" s="157">
        <f t="shared" si="59"/>
        <v>12.960906689129684</v>
      </c>
      <c r="T84" s="157">
        <f t="shared" si="59"/>
        <v>15.260209014927744</v>
      </c>
      <c r="U84" s="173">
        <f t="shared" si="59"/>
        <v>16.775267883000293</v>
      </c>
      <c r="W84" s="142"/>
    </row>
    <row r="85" spans="2:23" ht="21" customHeight="1" thickBot="1">
      <c r="B85" s="160" t="s">
        <v>189</v>
      </c>
      <c r="C85" s="161">
        <f t="shared" ref="C85:U85" si="60">SUM(C80,C81)</f>
        <v>100.00000000000001</v>
      </c>
      <c r="D85" s="161">
        <f t="shared" si="60"/>
        <v>99.999999999999986</v>
      </c>
      <c r="E85" s="161">
        <f t="shared" si="60"/>
        <v>100</v>
      </c>
      <c r="F85" s="162">
        <f t="shared" si="60"/>
        <v>100</v>
      </c>
      <c r="G85" s="162">
        <f t="shared" si="60"/>
        <v>100</v>
      </c>
      <c r="H85" s="162">
        <f t="shared" si="60"/>
        <v>100</v>
      </c>
      <c r="I85" s="162">
        <f t="shared" si="60"/>
        <v>100</v>
      </c>
      <c r="J85" s="162">
        <f t="shared" si="60"/>
        <v>100.00000000000001</v>
      </c>
      <c r="K85" s="162">
        <f t="shared" si="60"/>
        <v>100.00000000000001</v>
      </c>
      <c r="L85" s="163">
        <f t="shared" si="60"/>
        <v>100.00000000000001</v>
      </c>
      <c r="M85" s="174">
        <f t="shared" si="60"/>
        <v>100</v>
      </c>
      <c r="N85" s="175">
        <f t="shared" si="60"/>
        <v>99.999999999999986</v>
      </c>
      <c r="O85" s="176">
        <f t="shared" si="60"/>
        <v>100</v>
      </c>
      <c r="P85" s="175">
        <f t="shared" si="60"/>
        <v>100</v>
      </c>
      <c r="Q85" s="175">
        <f t="shared" si="60"/>
        <v>100</v>
      </c>
      <c r="R85" s="175">
        <f t="shared" si="60"/>
        <v>100.00000000000003</v>
      </c>
      <c r="S85" s="175">
        <f t="shared" si="60"/>
        <v>99.999999999999972</v>
      </c>
      <c r="T85" s="175">
        <f t="shared" si="60"/>
        <v>99.999999999999986</v>
      </c>
      <c r="U85" s="177">
        <f t="shared" si="60"/>
        <v>100.00000000000001</v>
      </c>
      <c r="W85" s="142"/>
    </row>
    <row r="86" spans="2:23">
      <c r="B86" s="167" t="s">
        <v>829</v>
      </c>
      <c r="W86" s="142"/>
    </row>
    <row r="87" spans="2:23">
      <c r="B87" s="167" t="s">
        <v>828</v>
      </c>
      <c r="W87" s="142"/>
    </row>
    <row r="88" spans="2:23">
      <c r="B88" s="168"/>
      <c r="W88" s="142"/>
    </row>
    <row r="89" spans="2:23" ht="15" thickBot="1">
      <c r="B89" s="178" t="s">
        <v>192</v>
      </c>
      <c r="C89" s="170"/>
      <c r="D89" s="170"/>
      <c r="E89" s="170"/>
      <c r="F89" s="170"/>
      <c r="G89" s="170"/>
      <c r="H89" s="170"/>
      <c r="I89" s="170"/>
      <c r="J89" s="170"/>
      <c r="K89" s="170"/>
      <c r="L89" s="170"/>
      <c r="M89" s="170"/>
      <c r="N89" s="170"/>
      <c r="O89" s="170"/>
      <c r="W89" s="142"/>
    </row>
    <row r="90" spans="2:23" ht="30" customHeight="1">
      <c r="B90" s="120" t="s">
        <v>157</v>
      </c>
      <c r="C90" s="171">
        <v>2001</v>
      </c>
      <c r="D90" s="171">
        <v>2002</v>
      </c>
      <c r="E90" s="171">
        <v>2003</v>
      </c>
      <c r="F90" s="171">
        <v>2004</v>
      </c>
      <c r="G90" s="171">
        <v>2005</v>
      </c>
      <c r="H90" s="171">
        <v>2006</v>
      </c>
      <c r="I90" s="171">
        <v>2007</v>
      </c>
      <c r="J90" s="171">
        <v>2008</v>
      </c>
      <c r="K90" s="121">
        <v>2009</v>
      </c>
      <c r="L90" s="121">
        <v>2010</v>
      </c>
      <c r="M90" s="122">
        <v>2011</v>
      </c>
      <c r="N90" s="121">
        <v>2012</v>
      </c>
      <c r="O90" s="123">
        <v>2013</v>
      </c>
      <c r="P90" s="121">
        <v>2014</v>
      </c>
      <c r="Q90" s="121">
        <v>2015</v>
      </c>
      <c r="R90" s="121">
        <v>2016</v>
      </c>
      <c r="S90" s="121">
        <v>2017</v>
      </c>
      <c r="T90" s="121">
        <v>2018</v>
      </c>
      <c r="U90" s="124" t="s">
        <v>773</v>
      </c>
      <c r="W90" s="142"/>
    </row>
    <row r="91" spans="2:23" ht="17.25" customHeight="1">
      <c r="B91" s="126" t="s">
        <v>158</v>
      </c>
      <c r="C91" s="127">
        <f>+C92</f>
        <v>0.12619549881009856</v>
      </c>
      <c r="D91" s="127">
        <f t="shared" ref="D91:U91" si="61">+D92</f>
        <v>0.13707943421569005</v>
      </c>
      <c r="E91" s="127">
        <f t="shared" si="61"/>
        <v>0.12700196090423585</v>
      </c>
      <c r="F91" s="128">
        <f t="shared" si="61"/>
        <v>0.13770682435676707</v>
      </c>
      <c r="G91" s="128">
        <f t="shared" si="61"/>
        <v>0.13199074704041366</v>
      </c>
      <c r="H91" s="128">
        <f t="shared" si="61"/>
        <v>0.14000096250661723</v>
      </c>
      <c r="I91" s="128">
        <f t="shared" si="61"/>
        <v>0.15695034314517906</v>
      </c>
      <c r="J91" s="128">
        <f t="shared" si="61"/>
        <v>0.17067986739230628</v>
      </c>
      <c r="K91" s="128">
        <f t="shared" si="61"/>
        <v>0.21361670119000414</v>
      </c>
      <c r="L91" s="128">
        <f t="shared" si="61"/>
        <v>0.24880853776469108</v>
      </c>
      <c r="M91" s="129">
        <f t="shared" si="61"/>
        <v>0.26079951567212817</v>
      </c>
      <c r="N91" s="128">
        <f t="shared" si="61"/>
        <v>0.25577301197270191</v>
      </c>
      <c r="O91" s="130">
        <f t="shared" si="61"/>
        <v>0.26147107720627022</v>
      </c>
      <c r="P91" s="128">
        <f t="shared" si="61"/>
        <v>0.25317049572287925</v>
      </c>
      <c r="Q91" s="128">
        <f t="shared" si="61"/>
        <v>0.2410590556287503</v>
      </c>
      <c r="R91" s="128">
        <f t="shared" si="61"/>
        <v>0.23639869156843285</v>
      </c>
      <c r="S91" s="128">
        <f t="shared" si="61"/>
        <v>0.21903107232558444</v>
      </c>
      <c r="T91" s="128">
        <f t="shared" si="61"/>
        <v>0.22351051197876654</v>
      </c>
      <c r="U91" s="131">
        <f t="shared" si="61"/>
        <v>0.10244107775464059</v>
      </c>
      <c r="W91" s="142"/>
    </row>
    <row r="92" spans="2:23" ht="19.5" customHeight="1">
      <c r="B92" s="133" t="s">
        <v>158</v>
      </c>
      <c r="C92" s="134">
        <f t="shared" ref="C92:U92" si="62">+C7/C$132*100</f>
        <v>0.12619549881009856</v>
      </c>
      <c r="D92" s="134">
        <f t="shared" si="62"/>
        <v>0.13707943421569005</v>
      </c>
      <c r="E92" s="134">
        <f t="shared" si="62"/>
        <v>0.12700196090423585</v>
      </c>
      <c r="F92" s="135">
        <f t="shared" si="62"/>
        <v>0.13770682435676707</v>
      </c>
      <c r="G92" s="135">
        <f t="shared" si="62"/>
        <v>0.13199074704041366</v>
      </c>
      <c r="H92" s="135">
        <f t="shared" si="62"/>
        <v>0.14000096250661723</v>
      </c>
      <c r="I92" s="135">
        <f t="shared" si="62"/>
        <v>0.15695034314517906</v>
      </c>
      <c r="J92" s="135">
        <f t="shared" si="62"/>
        <v>0.17067986739230628</v>
      </c>
      <c r="K92" s="135">
        <f t="shared" si="62"/>
        <v>0.21361670119000414</v>
      </c>
      <c r="L92" s="135">
        <f t="shared" si="62"/>
        <v>0.24880853776469108</v>
      </c>
      <c r="M92" s="136">
        <f t="shared" si="62"/>
        <v>0.26079951567212817</v>
      </c>
      <c r="N92" s="135">
        <f t="shared" si="62"/>
        <v>0.25577301197270191</v>
      </c>
      <c r="O92" s="140">
        <f t="shared" si="62"/>
        <v>0.26147107720627022</v>
      </c>
      <c r="P92" s="135">
        <f t="shared" si="62"/>
        <v>0.25317049572287925</v>
      </c>
      <c r="Q92" s="135">
        <f t="shared" si="62"/>
        <v>0.2410590556287503</v>
      </c>
      <c r="R92" s="135">
        <f t="shared" si="62"/>
        <v>0.23639869156843285</v>
      </c>
      <c r="S92" s="135">
        <f t="shared" si="62"/>
        <v>0.21903107232558444</v>
      </c>
      <c r="T92" s="135">
        <f t="shared" si="62"/>
        <v>0.22351051197876654</v>
      </c>
      <c r="U92" s="141">
        <f t="shared" si="62"/>
        <v>0.10244107775464059</v>
      </c>
      <c r="W92" s="142"/>
    </row>
    <row r="93" spans="2:23" ht="17.25" customHeight="1">
      <c r="B93" s="126" t="s">
        <v>159</v>
      </c>
      <c r="C93" s="127">
        <f t="shared" ref="C93:U93" si="63">+C94</f>
        <v>0.86220021445093165</v>
      </c>
      <c r="D93" s="127">
        <f t="shared" si="63"/>
        <v>0.86803814535315726</v>
      </c>
      <c r="E93" s="127">
        <f t="shared" si="63"/>
        <v>0.82611679801025228</v>
      </c>
      <c r="F93" s="128">
        <f t="shared" si="63"/>
        <v>0.87287182846247058</v>
      </c>
      <c r="G93" s="128">
        <f t="shared" si="63"/>
        <v>0.90964757109810845</v>
      </c>
      <c r="H93" s="128">
        <f t="shared" si="63"/>
        <v>0.97000666879584785</v>
      </c>
      <c r="I93" s="128">
        <f t="shared" si="63"/>
        <v>0.97755962790424278</v>
      </c>
      <c r="J93" s="128">
        <f t="shared" si="63"/>
        <v>0.99238945698783954</v>
      </c>
      <c r="K93" s="128">
        <f t="shared" si="63"/>
        <v>1.0078617763592215</v>
      </c>
      <c r="L93" s="128">
        <f t="shared" si="63"/>
        <v>0.97843008859535385</v>
      </c>
      <c r="M93" s="129">
        <f t="shared" si="63"/>
        <v>0.96234528278259768</v>
      </c>
      <c r="N93" s="128">
        <f t="shared" si="63"/>
        <v>0.97305966712101044</v>
      </c>
      <c r="O93" s="130">
        <f t="shared" si="63"/>
        <v>0.98404071491194567</v>
      </c>
      <c r="P93" s="128">
        <f t="shared" si="63"/>
        <v>0.96133971452813571</v>
      </c>
      <c r="Q93" s="128">
        <f t="shared" si="63"/>
        <v>1.0226877103400254</v>
      </c>
      <c r="R93" s="128">
        <f t="shared" si="63"/>
        <v>1.015562154846525</v>
      </c>
      <c r="S93" s="128">
        <f t="shared" si="63"/>
        <v>0.99045369518657145</v>
      </c>
      <c r="T93" s="128">
        <f t="shared" si="63"/>
        <v>0.95502388231311885</v>
      </c>
      <c r="U93" s="131">
        <f t="shared" si="63"/>
        <v>0.40417661586830922</v>
      </c>
      <c r="W93" s="142"/>
    </row>
    <row r="94" spans="2:23" ht="17.25" customHeight="1">
      <c r="B94" s="133" t="s">
        <v>159</v>
      </c>
      <c r="C94" s="134">
        <f t="shared" ref="C94:U94" si="64">+C9/C$132*100</f>
        <v>0.86220021445093165</v>
      </c>
      <c r="D94" s="134">
        <f t="shared" si="64"/>
        <v>0.86803814535315726</v>
      </c>
      <c r="E94" s="134">
        <f t="shared" si="64"/>
        <v>0.82611679801025228</v>
      </c>
      <c r="F94" s="135">
        <f t="shared" si="64"/>
        <v>0.87287182846247058</v>
      </c>
      <c r="G94" s="135">
        <f t="shared" si="64"/>
        <v>0.90964757109810845</v>
      </c>
      <c r="H94" s="135">
        <f t="shared" si="64"/>
        <v>0.97000666879584785</v>
      </c>
      <c r="I94" s="135">
        <f t="shared" si="64"/>
        <v>0.97755962790424278</v>
      </c>
      <c r="J94" s="135">
        <f t="shared" si="64"/>
        <v>0.99238945698783954</v>
      </c>
      <c r="K94" s="135">
        <f t="shared" si="64"/>
        <v>1.0078617763592215</v>
      </c>
      <c r="L94" s="135">
        <f t="shared" si="64"/>
        <v>0.97843008859535385</v>
      </c>
      <c r="M94" s="136">
        <f t="shared" si="64"/>
        <v>0.96234528278259768</v>
      </c>
      <c r="N94" s="135">
        <f t="shared" si="64"/>
        <v>0.97305966712101044</v>
      </c>
      <c r="O94" s="140">
        <f t="shared" si="64"/>
        <v>0.98404071491194567</v>
      </c>
      <c r="P94" s="135">
        <f t="shared" si="64"/>
        <v>0.96133971452813571</v>
      </c>
      <c r="Q94" s="135">
        <f t="shared" si="64"/>
        <v>1.0226877103400254</v>
      </c>
      <c r="R94" s="135">
        <f t="shared" si="64"/>
        <v>1.015562154846525</v>
      </c>
      <c r="S94" s="135">
        <f t="shared" si="64"/>
        <v>0.99045369518657145</v>
      </c>
      <c r="T94" s="135">
        <f t="shared" si="64"/>
        <v>0.95502388231311885</v>
      </c>
      <c r="U94" s="141">
        <f t="shared" si="64"/>
        <v>0.40417661586830922</v>
      </c>
      <c r="W94" s="142"/>
    </row>
    <row r="95" spans="2:23" ht="17.25" customHeight="1">
      <c r="B95" s="126" t="s">
        <v>160</v>
      </c>
      <c r="C95" s="127">
        <f>SUM(C96:C110)</f>
        <v>11.762967401667245</v>
      </c>
      <c r="D95" s="127">
        <f t="shared" ref="D95:M95" si="65">SUM(D96:D110)</f>
        <v>11.769485454656001</v>
      </c>
      <c r="E95" s="127">
        <f t="shared" si="65"/>
        <v>10.457124002087001</v>
      </c>
      <c r="F95" s="128">
        <f t="shared" si="65"/>
        <v>10.298867525306362</v>
      </c>
      <c r="G95" s="128">
        <f t="shared" si="65"/>
        <v>11.134848278677371</v>
      </c>
      <c r="H95" s="128">
        <f t="shared" si="65"/>
        <v>11.208827060686046</v>
      </c>
      <c r="I95" s="128">
        <f t="shared" si="65"/>
        <v>10.878951313063029</v>
      </c>
      <c r="J95" s="128">
        <f t="shared" si="65"/>
        <v>11.604007140756405</v>
      </c>
      <c r="K95" s="128">
        <f t="shared" si="65"/>
        <v>12.520438459641786</v>
      </c>
      <c r="L95" s="128">
        <f t="shared" si="65"/>
        <v>12.423080759240069</v>
      </c>
      <c r="M95" s="129">
        <f t="shared" si="65"/>
        <v>12.190035585083255</v>
      </c>
      <c r="N95" s="128">
        <f t="shared" ref="N95:U95" si="66">SUM(N96:N110)</f>
        <v>12.244373110634685</v>
      </c>
      <c r="O95" s="130">
        <f t="shared" si="66"/>
        <v>12.778432592301565</v>
      </c>
      <c r="P95" s="128">
        <f t="shared" si="66"/>
        <v>11.953011201909222</v>
      </c>
      <c r="Q95" s="128">
        <f t="shared" si="66"/>
        <v>12.267559338926471</v>
      </c>
      <c r="R95" s="128">
        <f t="shared" si="66"/>
        <v>11.818278545556016</v>
      </c>
      <c r="S95" s="128">
        <f t="shared" ref="S95:T95" si="67">SUM(S96:S110)</f>
        <v>12.161439539601499</v>
      </c>
      <c r="T95" s="128">
        <f t="shared" si="67"/>
        <v>11.121067938138555</v>
      </c>
      <c r="U95" s="131">
        <f t="shared" si="66"/>
        <v>5.6614527262364636</v>
      </c>
      <c r="W95" s="142"/>
    </row>
    <row r="96" spans="2:23" ht="17.25" customHeight="1">
      <c r="B96" s="133" t="s">
        <v>161</v>
      </c>
      <c r="C96" s="134">
        <f t="shared" ref="C96:U96" si="68">+C11/C$132*100</f>
        <v>0.61542695193905494</v>
      </c>
      <c r="D96" s="134">
        <f t="shared" si="68"/>
        <v>0.48214690398675319</v>
      </c>
      <c r="E96" s="134">
        <f t="shared" si="68"/>
        <v>0.48958425356900437</v>
      </c>
      <c r="F96" s="135">
        <f t="shared" si="68"/>
        <v>0.52605464119357581</v>
      </c>
      <c r="G96" s="135">
        <f t="shared" si="68"/>
        <v>0.62389440740236768</v>
      </c>
      <c r="H96" s="135">
        <f t="shared" si="68"/>
        <v>0.65500450315595915</v>
      </c>
      <c r="I96" s="135">
        <f t="shared" si="68"/>
        <v>0.61310564756712271</v>
      </c>
      <c r="J96" s="135">
        <f t="shared" si="68"/>
        <v>0.58876214843144092</v>
      </c>
      <c r="K96" s="135">
        <f t="shared" si="68"/>
        <v>0.59085470541916041</v>
      </c>
      <c r="L96" s="135">
        <f t="shared" si="68"/>
        <v>0.68788242793767551</v>
      </c>
      <c r="M96" s="136">
        <f t="shared" si="68"/>
        <v>0.68182557688951473</v>
      </c>
      <c r="N96" s="135">
        <f t="shared" si="68"/>
        <v>0.71868943217923742</v>
      </c>
      <c r="O96" s="140">
        <f t="shared" si="68"/>
        <v>0.73120955156118705</v>
      </c>
      <c r="P96" s="135">
        <f t="shared" si="68"/>
        <v>0.53820860629199496</v>
      </c>
      <c r="Q96" s="135">
        <f t="shared" si="68"/>
        <v>0.57427520155096967</v>
      </c>
      <c r="R96" s="135">
        <f t="shared" si="68"/>
        <v>0.4939118021736259</v>
      </c>
      <c r="S96" s="135">
        <f t="shared" si="68"/>
        <v>0.51548521600435171</v>
      </c>
      <c r="T96" s="135">
        <f t="shared" si="68"/>
        <v>0.4719663935980204</v>
      </c>
      <c r="U96" s="141">
        <f t="shared" si="68"/>
        <v>0.16204315935734057</v>
      </c>
      <c r="W96" s="142"/>
    </row>
    <row r="97" spans="2:23" ht="17.25" customHeight="1">
      <c r="B97" s="133" t="s">
        <v>162</v>
      </c>
      <c r="C97" s="134">
        <f t="shared" ref="C97:U97" si="69">+C12/C$132*100</f>
        <v>0.31833832280482932</v>
      </c>
      <c r="D97" s="134">
        <f t="shared" si="69"/>
        <v>0.42324064942171585</v>
      </c>
      <c r="E97" s="134">
        <f t="shared" si="69"/>
        <v>0.31788243484353917</v>
      </c>
      <c r="F97" s="135">
        <f t="shared" si="69"/>
        <v>0.30091491248330576</v>
      </c>
      <c r="G97" s="135">
        <f t="shared" si="69"/>
        <v>0.33610014968022861</v>
      </c>
      <c r="H97" s="135">
        <f t="shared" si="69"/>
        <v>0.3437523632974977</v>
      </c>
      <c r="I97" s="135">
        <f t="shared" si="69"/>
        <v>0.31096154128763942</v>
      </c>
      <c r="J97" s="135">
        <f t="shared" si="69"/>
        <v>0.30577826405787772</v>
      </c>
      <c r="K97" s="135">
        <f t="shared" si="69"/>
        <v>0.34826339848263971</v>
      </c>
      <c r="L97" s="135">
        <f t="shared" si="69"/>
        <v>0.32632405170881063</v>
      </c>
      <c r="M97" s="136">
        <f t="shared" si="69"/>
        <v>0.29974689135851401</v>
      </c>
      <c r="N97" s="135">
        <f t="shared" si="69"/>
        <v>0.31983316305178816</v>
      </c>
      <c r="O97" s="140">
        <f t="shared" si="69"/>
        <v>0.33104512035854733</v>
      </c>
      <c r="P97" s="135">
        <f t="shared" si="69"/>
        <v>0.36072369582892755</v>
      </c>
      <c r="Q97" s="135">
        <f t="shared" si="69"/>
        <v>0.37972134426475707</v>
      </c>
      <c r="R97" s="135">
        <f t="shared" si="69"/>
        <v>0.39951792883281562</v>
      </c>
      <c r="S97" s="135">
        <f t="shared" si="69"/>
        <v>0.40476621241119909</v>
      </c>
      <c r="T97" s="135">
        <f t="shared" si="69"/>
        <v>0.37429567708257377</v>
      </c>
      <c r="U97" s="141">
        <f t="shared" si="69"/>
        <v>0.17172849761777931</v>
      </c>
      <c r="W97" s="142"/>
    </row>
    <row r="98" spans="2:23" ht="17.25" customHeight="1">
      <c r="B98" s="133" t="s">
        <v>163</v>
      </c>
      <c r="C98" s="134">
        <f t="shared" ref="C98:U98" si="70">+C13/C$132*100</f>
        <v>0.19067732787951669</v>
      </c>
      <c r="D98" s="134">
        <f t="shared" si="70"/>
        <v>0.18745770554611071</v>
      </c>
      <c r="E98" s="134">
        <f t="shared" si="70"/>
        <v>0.16943662322776767</v>
      </c>
      <c r="F98" s="135">
        <f t="shared" si="70"/>
        <v>0.18798074436003123</v>
      </c>
      <c r="G98" s="135">
        <f t="shared" si="70"/>
        <v>0.2428901891413798</v>
      </c>
      <c r="H98" s="135">
        <f t="shared" si="70"/>
        <v>0.21750149532278035</v>
      </c>
      <c r="I98" s="135">
        <f t="shared" si="70"/>
        <v>0.22396284920716564</v>
      </c>
      <c r="J98" s="135">
        <f t="shared" si="70"/>
        <v>0.24740241364682833</v>
      </c>
      <c r="K98" s="135">
        <f t="shared" si="70"/>
        <v>0.2181617373855361</v>
      </c>
      <c r="L98" s="135">
        <f t="shared" si="70"/>
        <v>0.21032181405817024</v>
      </c>
      <c r="M98" s="136">
        <f t="shared" si="70"/>
        <v>0.19818791172059647</v>
      </c>
      <c r="N98" s="135">
        <f t="shared" si="70"/>
        <v>0.18469897573897123</v>
      </c>
      <c r="O98" s="140">
        <f t="shared" si="70"/>
        <v>0.2023558771422439</v>
      </c>
      <c r="P98" s="135">
        <f t="shared" si="70"/>
        <v>0.18500920841287327</v>
      </c>
      <c r="Q98" s="135">
        <f t="shared" si="70"/>
        <v>0.18687409976175681</v>
      </c>
      <c r="R98" s="135">
        <f t="shared" si="70"/>
        <v>0.19044377954724889</v>
      </c>
      <c r="S98" s="135">
        <f t="shared" si="70"/>
        <v>0.17009006349093003</v>
      </c>
      <c r="T98" s="135">
        <f t="shared" si="70"/>
        <v>0.17550026979376704</v>
      </c>
      <c r="U98" s="141">
        <f t="shared" si="70"/>
        <v>9.6480869594370577E-2</v>
      </c>
      <c r="W98" s="142"/>
    </row>
    <row r="99" spans="2:23" ht="17.25" customHeight="1">
      <c r="B99" s="133" t="s">
        <v>164</v>
      </c>
      <c r="C99" s="134">
        <f t="shared" ref="C99:U99" si="71">+C14/C$132*100</f>
        <v>1.0655785086623033</v>
      </c>
      <c r="D99" s="134">
        <f t="shared" si="71"/>
        <v>1.1097432998083572</v>
      </c>
      <c r="E99" s="134">
        <f t="shared" si="71"/>
        <v>0.80482396033189652</v>
      </c>
      <c r="F99" s="135">
        <f t="shared" si="71"/>
        <v>0.77669563367361727</v>
      </c>
      <c r="G99" s="135">
        <f t="shared" si="71"/>
        <v>0.72935093209960544</v>
      </c>
      <c r="H99" s="135">
        <f t="shared" si="71"/>
        <v>0.71125488987736796</v>
      </c>
      <c r="I99" s="135">
        <f t="shared" si="71"/>
        <v>0.70774611665466514</v>
      </c>
      <c r="J99" s="135">
        <f t="shared" si="71"/>
        <v>0.694394639651435</v>
      </c>
      <c r="K99" s="135">
        <f t="shared" si="71"/>
        <v>0.76811111704490842</v>
      </c>
      <c r="L99" s="135">
        <f t="shared" si="71"/>
        <v>0.79466953455999378</v>
      </c>
      <c r="M99" s="136">
        <f t="shared" si="71"/>
        <v>0.80458376101495876</v>
      </c>
      <c r="N99" s="135">
        <f t="shared" si="71"/>
        <v>0.750953303890602</v>
      </c>
      <c r="O99" s="140">
        <f t="shared" si="71"/>
        <v>0.74257785926580744</v>
      </c>
      <c r="P99" s="135">
        <f t="shared" si="71"/>
        <v>0.6878093537646055</v>
      </c>
      <c r="Q99" s="135">
        <f t="shared" si="71"/>
        <v>0.68733829843879057</v>
      </c>
      <c r="R99" s="135">
        <f t="shared" si="71"/>
        <v>0.63715864505046971</v>
      </c>
      <c r="S99" s="135">
        <f t="shared" si="71"/>
        <v>0.65869784021723388</v>
      </c>
      <c r="T99" s="135">
        <f t="shared" si="71"/>
        <v>0.66496679963188321</v>
      </c>
      <c r="U99" s="141">
        <f t="shared" si="71"/>
        <v>0.3360067350352211</v>
      </c>
      <c r="W99" s="142"/>
    </row>
    <row r="100" spans="2:23" ht="17.25" customHeight="1">
      <c r="B100" s="133" t="s">
        <v>191</v>
      </c>
      <c r="C100" s="134">
        <f t="shared" ref="C100:U100" si="72">+C15/C$132*100</f>
        <v>1.6242581943622363</v>
      </c>
      <c r="D100" s="134">
        <f t="shared" si="72"/>
        <v>1.5002933468307091</v>
      </c>
      <c r="E100" s="134">
        <f t="shared" si="72"/>
        <v>1.407819001818952</v>
      </c>
      <c r="F100" s="135">
        <f t="shared" si="72"/>
        <v>1.382168496321625</v>
      </c>
      <c r="G100" s="135">
        <f t="shared" si="72"/>
        <v>1.4240032657504424</v>
      </c>
      <c r="H100" s="135">
        <f t="shared" si="72"/>
        <v>1.384384517643559</v>
      </c>
      <c r="I100" s="135">
        <f t="shared" si="72"/>
        <v>0.24747600922891533</v>
      </c>
      <c r="J100" s="135">
        <f t="shared" si="72"/>
        <v>7.8390427694837742E-2</v>
      </c>
      <c r="K100" s="135">
        <f t="shared" si="72"/>
        <v>8.5219428666225047E-2</v>
      </c>
      <c r="L100" s="135">
        <f t="shared" si="72"/>
        <v>0.11491810458848478</v>
      </c>
      <c r="M100" s="136">
        <f t="shared" si="72"/>
        <v>9.761494159372662E-2</v>
      </c>
      <c r="N100" s="135">
        <f t="shared" si="72"/>
        <v>8.97777299794493E-2</v>
      </c>
      <c r="O100" s="140">
        <f t="shared" si="72"/>
        <v>8.3216012397821656E-2</v>
      </c>
      <c r="P100" s="135">
        <f t="shared" si="72"/>
        <v>8.7635940827150496E-2</v>
      </c>
      <c r="Q100" s="135">
        <f t="shared" si="72"/>
        <v>9.1303783901862917E-2</v>
      </c>
      <c r="R100" s="135">
        <f t="shared" si="72"/>
        <v>9.3565856907996195E-2</v>
      </c>
      <c r="S100" s="135">
        <f t="shared" si="72"/>
        <v>0.10791091292231177</v>
      </c>
      <c r="T100" s="135">
        <f t="shared" si="72"/>
        <v>0.14721605837062987</v>
      </c>
      <c r="U100" s="141">
        <f t="shared" si="72"/>
        <v>0.12181175427551807</v>
      </c>
      <c r="W100" s="142"/>
    </row>
    <row r="101" spans="2:23" ht="17.25" customHeight="1">
      <c r="B101" s="133" t="s">
        <v>166</v>
      </c>
      <c r="C101" s="134">
        <f t="shared" ref="C101:U101" si="73">+C16/C$132*100</f>
        <v>0</v>
      </c>
      <c r="D101" s="134">
        <f t="shared" si="73"/>
        <v>0</v>
      </c>
      <c r="E101" s="134">
        <f t="shared" si="73"/>
        <v>0</v>
      </c>
      <c r="F101" s="135">
        <f t="shared" si="73"/>
        <v>0</v>
      </c>
      <c r="G101" s="135">
        <f t="shared" si="73"/>
        <v>0</v>
      </c>
      <c r="H101" s="135">
        <f t="shared" si="73"/>
        <v>0</v>
      </c>
      <c r="I101" s="135">
        <f t="shared" si="73"/>
        <v>1.2062251091157581</v>
      </c>
      <c r="J101" s="135">
        <f t="shared" si="73"/>
        <v>1.7451599470503238</v>
      </c>
      <c r="K101" s="135">
        <f t="shared" si="73"/>
        <v>1.5998527408272651</v>
      </c>
      <c r="L101" s="135">
        <f t="shared" si="73"/>
        <v>1.7812306211215143</v>
      </c>
      <c r="M101" s="136">
        <f t="shared" si="73"/>
        <v>1.654523959538114</v>
      </c>
      <c r="N101" s="135">
        <f t="shared" si="73"/>
        <v>1.5739158287022208</v>
      </c>
      <c r="O101" s="140">
        <f t="shared" si="73"/>
        <v>1.6602276571827699</v>
      </c>
      <c r="P101" s="135">
        <f t="shared" si="73"/>
        <v>1.5840860213150079</v>
      </c>
      <c r="Q101" s="135">
        <f t="shared" si="73"/>
        <v>1.8713009167923871</v>
      </c>
      <c r="R101" s="135">
        <f t="shared" si="73"/>
        <v>1.8042478071019799</v>
      </c>
      <c r="S101" s="135">
        <f t="shared" si="73"/>
        <v>1.8525375311347052</v>
      </c>
      <c r="T101" s="135">
        <f t="shared" si="73"/>
        <v>1.6702268186517679</v>
      </c>
      <c r="U101" s="141">
        <f t="shared" si="73"/>
        <v>0.80015794551624719</v>
      </c>
      <c r="W101" s="142"/>
    </row>
    <row r="102" spans="2:23" ht="17.25" customHeight="1">
      <c r="B102" s="133" t="s">
        <v>167</v>
      </c>
      <c r="C102" s="134">
        <f t="shared" ref="C102:U102" si="74">+C17/C$132*100</f>
        <v>3.8454618063216617</v>
      </c>
      <c r="D102" s="134">
        <f t="shared" si="74"/>
        <v>3.7016185006699986</v>
      </c>
      <c r="E102" s="134">
        <f t="shared" si="74"/>
        <v>3.5210953881374731</v>
      </c>
      <c r="F102" s="135">
        <f t="shared" si="74"/>
        <v>3.3778245381903287</v>
      </c>
      <c r="G102" s="135">
        <f t="shared" si="74"/>
        <v>3.4106681181113077</v>
      </c>
      <c r="H102" s="135">
        <f t="shared" si="74"/>
        <v>3.2875226017178871</v>
      </c>
      <c r="I102" s="135">
        <f t="shared" si="74"/>
        <v>3.381192411127603</v>
      </c>
      <c r="J102" s="135">
        <f t="shared" si="74"/>
        <v>3.5147821552252783</v>
      </c>
      <c r="K102" s="135">
        <f t="shared" si="74"/>
        <v>4.296195463826626</v>
      </c>
      <c r="L102" s="135">
        <f t="shared" si="74"/>
        <v>3.7283336007528223</v>
      </c>
      <c r="M102" s="136">
        <f t="shared" si="74"/>
        <v>3.7665563322023807</v>
      </c>
      <c r="N102" s="135">
        <f t="shared" si="74"/>
        <v>3.8492201728688888</v>
      </c>
      <c r="O102" s="140">
        <f t="shared" si="74"/>
        <v>3.9066052596157697</v>
      </c>
      <c r="P102" s="135">
        <f t="shared" si="74"/>
        <v>3.8723578095794928</v>
      </c>
      <c r="Q102" s="135">
        <f t="shared" si="74"/>
        <v>3.9533685123115045</v>
      </c>
      <c r="R102" s="135">
        <f t="shared" si="74"/>
        <v>3.9045114889350092</v>
      </c>
      <c r="S102" s="135">
        <f t="shared" si="74"/>
        <v>3.8326426098876079</v>
      </c>
      <c r="T102" s="135">
        <f t="shared" si="74"/>
        <v>3.5592437177964871</v>
      </c>
      <c r="U102" s="141">
        <f t="shared" si="74"/>
        <v>1.9426553472380024</v>
      </c>
      <c r="W102" s="142"/>
    </row>
    <row r="103" spans="2:23" ht="17.25" customHeight="1">
      <c r="B103" s="133" t="s">
        <v>193</v>
      </c>
      <c r="C103" s="134">
        <f t="shared" ref="C103:U103" si="75">+C18/C$132*100</f>
        <v>1.7085242209870442</v>
      </c>
      <c r="D103" s="134">
        <f t="shared" si="75"/>
        <v>1.7206785431993676</v>
      </c>
      <c r="E103" s="134">
        <f t="shared" si="75"/>
        <v>1.7068248075150128</v>
      </c>
      <c r="F103" s="135">
        <f t="shared" si="75"/>
        <v>1.7012985972119106</v>
      </c>
      <c r="G103" s="135">
        <f t="shared" si="75"/>
        <v>1.8635188461015102</v>
      </c>
      <c r="H103" s="135">
        <f t="shared" si="75"/>
        <v>1.9606384793895457</v>
      </c>
      <c r="I103" s="135">
        <f t="shared" si="75"/>
        <v>2.0180169588666659</v>
      </c>
      <c r="J103" s="135">
        <f t="shared" si="75"/>
        <v>2.030923633824413</v>
      </c>
      <c r="K103" s="135">
        <f t="shared" si="75"/>
        <v>2.399779111240897</v>
      </c>
      <c r="L103" s="135">
        <f t="shared" si="75"/>
        <v>2.4013547326744695</v>
      </c>
      <c r="M103" s="136">
        <f t="shared" si="75"/>
        <v>2.3255034318061032</v>
      </c>
      <c r="N103" s="135">
        <f t="shared" si="75"/>
        <v>2.3085034005653191</v>
      </c>
      <c r="O103" s="140">
        <f t="shared" si="75"/>
        <v>2.634264261314649</v>
      </c>
      <c r="P103" s="135">
        <f t="shared" si="75"/>
        <v>2.4564619777307337</v>
      </c>
      <c r="Q103" s="135">
        <f t="shared" si="75"/>
        <v>2.4967745018397287</v>
      </c>
      <c r="R103" s="135">
        <f t="shared" si="75"/>
        <v>2.5341442926276314</v>
      </c>
      <c r="S103" s="135">
        <f t="shared" si="75"/>
        <v>2.4811486855929306</v>
      </c>
      <c r="T103" s="135">
        <f t="shared" si="75"/>
        <v>2.3298591469297625</v>
      </c>
      <c r="U103" s="141">
        <f t="shared" si="75"/>
        <v>1.0791701900188864</v>
      </c>
      <c r="W103" s="142"/>
    </row>
    <row r="104" spans="2:23" ht="17.25" customHeight="1">
      <c r="B104" s="133" t="s">
        <v>169</v>
      </c>
      <c r="C104" s="134">
        <f t="shared" ref="C104:U104" si="76">+C19/C$132*100</f>
        <v>5.112953113080123E-2</v>
      </c>
      <c r="D104" s="134">
        <f t="shared" si="76"/>
        <v>4.9272792022229617E-2</v>
      </c>
      <c r="E104" s="134">
        <f t="shared" si="76"/>
        <v>4.5832455570077979E-2</v>
      </c>
      <c r="F104" s="135">
        <f t="shared" si="76"/>
        <v>5.2459742612101741E-2</v>
      </c>
      <c r="G104" s="135">
        <f t="shared" si="76"/>
        <v>4.1502245203429031E-2</v>
      </c>
      <c r="H104" s="135">
        <f t="shared" si="76"/>
        <v>4.8125330861649676E-2</v>
      </c>
      <c r="I104" s="135">
        <f t="shared" si="76"/>
        <v>5.4668097050567993E-2</v>
      </c>
      <c r="J104" s="135">
        <f t="shared" si="76"/>
        <v>5.2816245609997058E-2</v>
      </c>
      <c r="K104" s="135">
        <f t="shared" si="76"/>
        <v>5.7949211493033025E-2</v>
      </c>
      <c r="L104" s="135">
        <f t="shared" si="76"/>
        <v>6.287971760501998E-2</v>
      </c>
      <c r="M104" s="136">
        <f t="shared" si="76"/>
        <v>6.3104608707055601E-2</v>
      </c>
      <c r="N104" s="135">
        <f t="shared" si="76"/>
        <v>6.0319412329942507E-2</v>
      </c>
      <c r="O104" s="140">
        <f t="shared" si="76"/>
        <v>6.5026720070428951E-2</v>
      </c>
      <c r="P104" s="135">
        <f t="shared" si="76"/>
        <v>6.8161287310005939E-2</v>
      </c>
      <c r="Q104" s="135">
        <f t="shared" si="76"/>
        <v>6.3571326174661574E-2</v>
      </c>
      <c r="R104" s="135">
        <f t="shared" si="76"/>
        <v>5.4649084565732288E-2</v>
      </c>
      <c r="S104" s="135">
        <f t="shared" si="76"/>
        <v>5.2952566935855587E-2</v>
      </c>
      <c r="T104" s="135">
        <f t="shared" si="76"/>
        <v>5.6184647928728397E-2</v>
      </c>
      <c r="U104" s="141">
        <f t="shared" si="76"/>
        <v>2.7565962741248739E-2</v>
      </c>
      <c r="W104" s="142"/>
    </row>
    <row r="105" spans="2:23" ht="17.25" customHeight="1">
      <c r="B105" s="133" t="s">
        <v>730</v>
      </c>
      <c r="C105" s="134"/>
      <c r="D105" s="134"/>
      <c r="E105" s="134"/>
      <c r="F105" s="135"/>
      <c r="G105" s="135"/>
      <c r="H105" s="135"/>
      <c r="I105" s="135"/>
      <c r="J105" s="135"/>
      <c r="K105" s="135"/>
      <c r="L105" s="135"/>
      <c r="M105" s="136"/>
      <c r="N105" s="135"/>
      <c r="O105" s="140"/>
      <c r="P105" s="135"/>
      <c r="Q105" s="135"/>
      <c r="R105" s="135"/>
      <c r="S105" s="135"/>
      <c r="T105" s="135">
        <f t="shared" ref="T105:U110" si="77">+T20/T$132*100</f>
        <v>2.2220567725911026E-2</v>
      </c>
      <c r="U105" s="141">
        <f t="shared" si="77"/>
        <v>3.4271196921552484E-2</v>
      </c>
      <c r="W105" s="142"/>
    </row>
    <row r="106" spans="2:23" ht="17.25" customHeight="1">
      <c r="B106" s="133" t="s">
        <v>170</v>
      </c>
      <c r="C106" s="134">
        <f t="shared" ref="C106:S106" si="78">+C21/C$132*100</f>
        <v>0.34545000093628919</v>
      </c>
      <c r="D106" s="134">
        <f t="shared" si="78"/>
        <v>0.36567676258805343</v>
      </c>
      <c r="E106" s="134">
        <f t="shared" si="78"/>
        <v>0.44344977193256668</v>
      </c>
      <c r="F106" s="135">
        <f t="shared" si="78"/>
        <v>0.58871488931358618</v>
      </c>
      <c r="G106" s="135">
        <f t="shared" si="78"/>
        <v>0.60756565519118244</v>
      </c>
      <c r="H106" s="135">
        <f t="shared" si="78"/>
        <v>0.72187996292474521</v>
      </c>
      <c r="I106" s="135">
        <f t="shared" si="78"/>
        <v>0.84764941878407563</v>
      </c>
      <c r="J106" s="135">
        <f t="shared" si="78"/>
        <v>0.83894436447879539</v>
      </c>
      <c r="K106" s="135">
        <f t="shared" si="78"/>
        <v>0.56926578349038326</v>
      </c>
      <c r="L106" s="135">
        <f t="shared" si="78"/>
        <v>0.69547135937276416</v>
      </c>
      <c r="M106" s="136">
        <f t="shared" si="78"/>
        <v>0.85684226510048933</v>
      </c>
      <c r="N106" s="135">
        <f t="shared" si="78"/>
        <v>0.80940234684597268</v>
      </c>
      <c r="O106" s="140">
        <f t="shared" si="78"/>
        <v>0.8189728870408568</v>
      </c>
      <c r="P106" s="135">
        <f t="shared" si="78"/>
        <v>0.63735229692473083</v>
      </c>
      <c r="Q106" s="135">
        <f t="shared" si="78"/>
        <v>0.46675859620858901</v>
      </c>
      <c r="R106" s="135">
        <f t="shared" si="78"/>
        <v>0.38751169055701079</v>
      </c>
      <c r="S106" s="135">
        <f t="shared" si="78"/>
        <v>0.59691984545873578</v>
      </c>
      <c r="T106" s="135">
        <f t="shared" si="77"/>
        <v>0.43001979511024707</v>
      </c>
      <c r="U106" s="141">
        <f t="shared" si="77"/>
        <v>0.25926905497174485</v>
      </c>
      <c r="W106" s="142"/>
    </row>
    <row r="107" spans="2:23" ht="17.25" customHeight="1">
      <c r="B107" s="133" t="s">
        <v>171</v>
      </c>
      <c r="C107" s="134">
        <f t="shared" ref="C107:S107" si="79">+C22/C$132*100</f>
        <v>0.32216489599455483</v>
      </c>
      <c r="D107" s="134">
        <f t="shared" si="79"/>
        <v>0.28939869032287102</v>
      </c>
      <c r="E107" s="134">
        <f t="shared" si="79"/>
        <v>0.24056376185546693</v>
      </c>
      <c r="F107" s="135">
        <f t="shared" si="79"/>
        <v>0.22659694378282833</v>
      </c>
      <c r="G107" s="135">
        <f t="shared" si="79"/>
        <v>0.24765274186964215</v>
      </c>
      <c r="H107" s="135">
        <f t="shared" si="79"/>
        <v>0.29437702384203895</v>
      </c>
      <c r="I107" s="135">
        <f t="shared" si="79"/>
        <v>0.28744838126588973</v>
      </c>
      <c r="J107" s="135">
        <f t="shared" si="79"/>
        <v>0.32356899942124517</v>
      </c>
      <c r="K107" s="135">
        <f t="shared" si="79"/>
        <v>0.31588001558947421</v>
      </c>
      <c r="L107" s="135">
        <f t="shared" si="79"/>
        <v>0.32415578558449953</v>
      </c>
      <c r="M107" s="136">
        <f t="shared" si="79"/>
        <v>0.28742177247041728</v>
      </c>
      <c r="N107" s="135">
        <f t="shared" si="79"/>
        <v>0.32731464055007559</v>
      </c>
      <c r="O107" s="140">
        <f t="shared" si="79"/>
        <v>0.29921385878561008</v>
      </c>
      <c r="P107" s="135">
        <f t="shared" si="79"/>
        <v>0.36160890735243412</v>
      </c>
      <c r="Q107" s="135">
        <f t="shared" si="79"/>
        <v>0.38953436776822831</v>
      </c>
      <c r="R107" s="135">
        <f t="shared" si="79"/>
        <v>0.32044235949906663</v>
      </c>
      <c r="S107" s="135">
        <f t="shared" si="79"/>
        <v>0.30648303893177026</v>
      </c>
      <c r="T107" s="135">
        <f t="shared" si="77"/>
        <v>0.28479936631085612</v>
      </c>
      <c r="U107" s="141">
        <f t="shared" si="77"/>
        <v>0.1363397616661762</v>
      </c>
      <c r="W107" s="142"/>
    </row>
    <row r="108" spans="2:23" ht="28.5" customHeight="1">
      <c r="B108" s="143" t="s">
        <v>172</v>
      </c>
      <c r="C108" s="134">
        <f t="shared" ref="C108:S108" si="80">+C23/C$132*100</f>
        <v>1.6426583122532572</v>
      </c>
      <c r="D108" s="134">
        <f t="shared" si="80"/>
        <v>1.896923530048112</v>
      </c>
      <c r="E108" s="134">
        <f t="shared" si="80"/>
        <v>1.2663952962460427</v>
      </c>
      <c r="F108" s="135">
        <f t="shared" si="80"/>
        <v>1.1380849716680959</v>
      </c>
      <c r="G108" s="135">
        <f t="shared" si="80"/>
        <v>1.4314872771805689</v>
      </c>
      <c r="H108" s="135">
        <f t="shared" si="80"/>
        <v>1.347509264126191</v>
      </c>
      <c r="I108" s="135">
        <f t="shared" si="80"/>
        <v>0.78651520272752662</v>
      </c>
      <c r="J108" s="135">
        <f t="shared" si="80"/>
        <v>1.0552129912397308</v>
      </c>
      <c r="K108" s="135">
        <f t="shared" si="80"/>
        <v>1.1470535098473891</v>
      </c>
      <c r="L108" s="135">
        <f t="shared" si="80"/>
        <v>1.1274983846417375</v>
      </c>
      <c r="M108" s="136">
        <f t="shared" si="80"/>
        <v>1.0081947250463179</v>
      </c>
      <c r="N108" s="135">
        <f t="shared" si="80"/>
        <v>1.1208188477121874</v>
      </c>
      <c r="O108" s="140">
        <f t="shared" si="80"/>
        <v>1.1636599766449487</v>
      </c>
      <c r="P108" s="135">
        <f t="shared" si="80"/>
        <v>0.97240485857196779</v>
      </c>
      <c r="Q108" s="135">
        <f t="shared" si="80"/>
        <v>0.97746247158489707</v>
      </c>
      <c r="R108" s="135">
        <f t="shared" si="80"/>
        <v>0.8263603999484973</v>
      </c>
      <c r="S108" s="135">
        <f t="shared" si="80"/>
        <v>1.0181334460848597</v>
      </c>
      <c r="T108" s="135">
        <f t="shared" si="77"/>
        <v>0.82223776084221711</v>
      </c>
      <c r="U108" s="141">
        <f t="shared" si="77"/>
        <v>0.4369577607497942</v>
      </c>
      <c r="W108" s="142"/>
    </row>
    <row r="109" spans="2:23" ht="27.75" customHeight="1">
      <c r="B109" s="143" t="s">
        <v>173</v>
      </c>
      <c r="C109" s="134">
        <f t="shared" ref="C109:S109" si="81">+C24/C$132*100</f>
        <v>3.3299328395696978E-2</v>
      </c>
      <c r="D109" s="134">
        <f t="shared" si="81"/>
        <v>4.3034730211722973E-2</v>
      </c>
      <c r="E109" s="134">
        <f t="shared" si="81"/>
        <v>4.3416247039200724E-2</v>
      </c>
      <c r="F109" s="135">
        <f t="shared" si="81"/>
        <v>4.0073414495355494E-2</v>
      </c>
      <c r="G109" s="135">
        <f t="shared" si="81"/>
        <v>0.14968022860253094</v>
      </c>
      <c r="H109" s="135">
        <f t="shared" si="81"/>
        <v>0.15625107422613532</v>
      </c>
      <c r="I109" s="135">
        <f t="shared" si="81"/>
        <v>0.11403882610548591</v>
      </c>
      <c r="J109" s="135">
        <f t="shared" si="81"/>
        <v>4.8924522249260444E-2</v>
      </c>
      <c r="K109" s="135">
        <f t="shared" si="81"/>
        <v>5.1699786724176522E-2</v>
      </c>
      <c r="L109" s="135">
        <f t="shared" si="81"/>
        <v>9.757197559399651E-2</v>
      </c>
      <c r="M109" s="136">
        <f t="shared" si="81"/>
        <v>7.8387756128295613E-2</v>
      </c>
      <c r="N109" s="135">
        <f t="shared" si="81"/>
        <v>5.6578673580798787E-2</v>
      </c>
      <c r="O109" s="140">
        <f t="shared" si="81"/>
        <v>7.0483507768646758E-2</v>
      </c>
      <c r="P109" s="135">
        <f t="shared" si="81"/>
        <v>5.8423960551433667E-2</v>
      </c>
      <c r="Q109" s="135">
        <f t="shared" si="81"/>
        <v>6.0158100608236793E-2</v>
      </c>
      <c r="R109" s="135">
        <f t="shared" si="81"/>
        <v>0.1001899883705092</v>
      </c>
      <c r="S109" s="135">
        <f t="shared" si="81"/>
        <v>8.4242720125224796E-2</v>
      </c>
      <c r="T109" s="135">
        <f t="shared" si="77"/>
        <v>4.2100108454791701E-2</v>
      </c>
      <c r="U109" s="141">
        <f t="shared" si="77"/>
        <v>2.0488215550928116E-2</v>
      </c>
      <c r="W109" s="142"/>
    </row>
    <row r="110" spans="2:23" ht="19.5" customHeight="1">
      <c r="B110" s="133" t="s">
        <v>174</v>
      </c>
      <c r="C110" s="134">
        <f t="shared" ref="C110:S110" si="82">+C25/C$132*100</f>
        <v>0</v>
      </c>
      <c r="D110" s="134">
        <f t="shared" si="82"/>
        <v>0</v>
      </c>
      <c r="E110" s="134">
        <f t="shared" si="82"/>
        <v>0</v>
      </c>
      <c r="F110" s="135">
        <f t="shared" si="82"/>
        <v>0</v>
      </c>
      <c r="G110" s="135">
        <f t="shared" si="82"/>
        <v>2.6534222343175942E-2</v>
      </c>
      <c r="H110" s="135">
        <f t="shared" si="82"/>
        <v>8.0625554300685826E-2</v>
      </c>
      <c r="I110" s="135">
        <f t="shared" si="82"/>
        <v>7.9944744073948887E-2</v>
      </c>
      <c r="J110" s="135">
        <f t="shared" si="82"/>
        <v>7.8946388174942969E-2</v>
      </c>
      <c r="K110" s="135">
        <f t="shared" si="82"/>
        <v>7.2152449604070537E-2</v>
      </c>
      <c r="L110" s="135">
        <f t="shared" si="82"/>
        <v>7.0468649040108591E-2</v>
      </c>
      <c r="M110" s="136">
        <f t="shared" si="82"/>
        <v>6.7541651506770439E-2</v>
      </c>
      <c r="N110" s="135">
        <f t="shared" si="82"/>
        <v>7.4347182639231457E-2</v>
      </c>
      <c r="O110" s="140">
        <f t="shared" si="82"/>
        <v>6.9574043152277124E-2</v>
      </c>
      <c r="P110" s="135">
        <f t="shared" si="82"/>
        <v>8.2767277447864357E-2</v>
      </c>
      <c r="Q110" s="135">
        <f t="shared" si="82"/>
        <v>6.9117817720101851E-2</v>
      </c>
      <c r="R110" s="135">
        <f t="shared" si="82"/>
        <v>7.1623421438421861E-2</v>
      </c>
      <c r="S110" s="135">
        <f t="shared" si="82"/>
        <v>7.9428850403783377E-2</v>
      </c>
      <c r="T110" s="135">
        <f t="shared" si="77"/>
        <v>7.0230809910910491E-2</v>
      </c>
      <c r="U110" s="141">
        <f t="shared" si="77"/>
        <v>3.6506274981653736E-2</v>
      </c>
      <c r="W110" s="142"/>
    </row>
    <row r="111" spans="2:23" ht="17.25" customHeight="1">
      <c r="B111" s="126" t="s">
        <v>175</v>
      </c>
      <c r="C111" s="127">
        <f>SUM(C112:C114)</f>
        <v>0.27868851124320476</v>
      </c>
      <c r="D111" s="127">
        <f t="shared" ref="D111:M111" si="83">SUM(D112:D114)</f>
        <v>0.27802804601004877</v>
      </c>
      <c r="E111" s="127">
        <f t="shared" si="83"/>
        <v>0.26835015996055539</v>
      </c>
      <c r="F111" s="128">
        <f t="shared" si="83"/>
        <v>0.26375592813306709</v>
      </c>
      <c r="G111" s="128">
        <f t="shared" si="83"/>
        <v>0.27418696421281807</v>
      </c>
      <c r="H111" s="128">
        <f t="shared" si="83"/>
        <v>0.26312680899681185</v>
      </c>
      <c r="I111" s="128">
        <f t="shared" si="83"/>
        <v>0.30331976428057084</v>
      </c>
      <c r="J111" s="128">
        <f t="shared" si="83"/>
        <v>0.33969185334429686</v>
      </c>
      <c r="K111" s="128">
        <f t="shared" si="83"/>
        <v>0.38121491090024667</v>
      </c>
      <c r="L111" s="128">
        <f t="shared" si="83"/>
        <v>0.3301185174263549</v>
      </c>
      <c r="M111" s="129">
        <f t="shared" si="83"/>
        <v>0.32193210535708827</v>
      </c>
      <c r="N111" s="128">
        <f t="shared" ref="N111:U111" si="84">SUM(N112:N114)</f>
        <v>0.29738873055692588</v>
      </c>
      <c r="O111" s="130">
        <f t="shared" si="84"/>
        <v>0.31603895418844835</v>
      </c>
      <c r="P111" s="128">
        <f t="shared" si="84"/>
        <v>0.34700291721457577</v>
      </c>
      <c r="Q111" s="128">
        <f t="shared" si="84"/>
        <v>0.35540211210398043</v>
      </c>
      <c r="R111" s="128">
        <f t="shared" si="84"/>
        <v>0.34321281140145504</v>
      </c>
      <c r="S111" s="128">
        <f t="shared" ref="S111:T111" si="85">SUM(S112:S114)</f>
        <v>0.39915003106951746</v>
      </c>
      <c r="T111" s="128">
        <f t="shared" si="85"/>
        <v>0.37947663846944429</v>
      </c>
      <c r="U111" s="131">
        <f t="shared" si="84"/>
        <v>0.16576828945750929</v>
      </c>
      <c r="W111" s="142"/>
    </row>
    <row r="112" spans="2:23" ht="19.5" customHeight="1">
      <c r="B112" s="133" t="s">
        <v>176</v>
      </c>
      <c r="C112" s="134">
        <f t="shared" ref="C112:U112" si="86">+C27/C$132*100</f>
        <v>0.15045760116197557</v>
      </c>
      <c r="D112" s="134">
        <f t="shared" si="86"/>
        <v>0.15097688837580611</v>
      </c>
      <c r="E112" s="134">
        <f t="shared" si="86"/>
        <v>0.14716220083374296</v>
      </c>
      <c r="F112" s="135">
        <f t="shared" si="86"/>
        <v>0.14280707711072138</v>
      </c>
      <c r="G112" s="135">
        <f t="shared" si="86"/>
        <v>0.13335147639134576</v>
      </c>
      <c r="H112" s="135">
        <f t="shared" si="86"/>
        <v>0.13375091953757182</v>
      </c>
      <c r="I112" s="135">
        <f t="shared" si="86"/>
        <v>0.17105823915822888</v>
      </c>
      <c r="J112" s="135">
        <f t="shared" si="86"/>
        <v>0.20959710099967255</v>
      </c>
      <c r="K112" s="135">
        <f t="shared" si="86"/>
        <v>0.23463749359433961</v>
      </c>
      <c r="L112" s="135">
        <f t="shared" si="86"/>
        <v>0.19351775159475978</v>
      </c>
      <c r="M112" s="136">
        <f t="shared" si="86"/>
        <v>0.18635579758802354</v>
      </c>
      <c r="N112" s="135">
        <f t="shared" si="86"/>
        <v>0.16038417386953704</v>
      </c>
      <c r="O112" s="140">
        <f t="shared" si="86"/>
        <v>0.17825506480844858</v>
      </c>
      <c r="P112" s="135">
        <f t="shared" si="86"/>
        <v>0.196959563980212</v>
      </c>
      <c r="Q112" s="135">
        <f t="shared" si="86"/>
        <v>0.20863341274771482</v>
      </c>
      <c r="R112" s="135">
        <f t="shared" si="86"/>
        <v>0.19748191922616898</v>
      </c>
      <c r="S112" s="135">
        <f t="shared" si="86"/>
        <v>0.2559374068566353</v>
      </c>
      <c r="T112" s="135">
        <f t="shared" si="86"/>
        <v>0.2313395202967041</v>
      </c>
      <c r="U112" s="141">
        <f t="shared" si="86"/>
        <v>9.4990817554303081E-2</v>
      </c>
      <c r="W112" s="142"/>
    </row>
    <row r="113" spans="2:23" ht="21" customHeight="1">
      <c r="B113" s="133" t="s">
        <v>177</v>
      </c>
      <c r="C113" s="134">
        <f t="shared" ref="C113:U113" si="87">+C28/C$132*100</f>
        <v>0.10177056355653109</v>
      </c>
      <c r="D113" s="134">
        <f t="shared" si="87"/>
        <v>9.8703509659915076E-2</v>
      </c>
      <c r="E113" s="134">
        <f t="shared" si="87"/>
        <v>9.4609665287162609E-2</v>
      </c>
      <c r="F113" s="135">
        <f t="shared" si="87"/>
        <v>9.2533157107457228E-2</v>
      </c>
      <c r="G113" s="135">
        <f t="shared" si="87"/>
        <v>0.11430126547829636</v>
      </c>
      <c r="H113" s="135">
        <f t="shared" si="87"/>
        <v>0.10250070469234476</v>
      </c>
      <c r="I113" s="135">
        <f t="shared" si="87"/>
        <v>0.10757270709950476</v>
      </c>
      <c r="J113" s="135">
        <f t="shared" si="87"/>
        <v>9.9516925938836556E-2</v>
      </c>
      <c r="K113" s="135">
        <f t="shared" si="87"/>
        <v>0.11078525726609255</v>
      </c>
      <c r="L113" s="135">
        <f t="shared" si="87"/>
        <v>0.1002823082493853</v>
      </c>
      <c r="M113" s="136">
        <f t="shared" si="87"/>
        <v>9.6135927327154994E-2</v>
      </c>
      <c r="N113" s="135">
        <f t="shared" si="87"/>
        <v>9.7259207477736753E-2</v>
      </c>
      <c r="O113" s="140">
        <f t="shared" si="87"/>
        <v>9.8676910876105459E-2</v>
      </c>
      <c r="P113" s="135">
        <f t="shared" si="87"/>
        <v>0.11109404620007463</v>
      </c>
      <c r="Q113" s="135">
        <f t="shared" si="87"/>
        <v>0.10751660534238064</v>
      </c>
      <c r="R113" s="135">
        <f t="shared" si="87"/>
        <v>0.10515808696739395</v>
      </c>
      <c r="S113" s="135">
        <f t="shared" si="87"/>
        <v>0.10470166644135082</v>
      </c>
      <c r="T113" s="135">
        <f t="shared" si="87"/>
        <v>0.11144823605534648</v>
      </c>
      <c r="U113" s="141">
        <f t="shared" si="87"/>
        <v>5.4014386452446848E-2</v>
      </c>
      <c r="W113" s="142"/>
    </row>
    <row r="114" spans="2:23" ht="28.5" customHeight="1">
      <c r="B114" s="143" t="s">
        <v>178</v>
      </c>
      <c r="C114" s="134">
        <f t="shared" ref="C114:U114" si="88">+C29/C$132*100</f>
        <v>2.6460346524698083E-2</v>
      </c>
      <c r="D114" s="134">
        <f t="shared" si="88"/>
        <v>2.8347647974327608E-2</v>
      </c>
      <c r="E114" s="134">
        <f t="shared" si="88"/>
        <v>2.6578293839649832E-2</v>
      </c>
      <c r="F114" s="135">
        <f t="shared" si="88"/>
        <v>2.8415693914888442E-2</v>
      </c>
      <c r="G114" s="135">
        <f t="shared" si="88"/>
        <v>2.6534222343175942E-2</v>
      </c>
      <c r="H114" s="135">
        <f t="shared" si="88"/>
        <v>2.6875184766895273E-2</v>
      </c>
      <c r="I114" s="135">
        <f t="shared" si="88"/>
        <v>2.4688818022837157E-2</v>
      </c>
      <c r="J114" s="135">
        <f t="shared" si="88"/>
        <v>3.057782640578777E-2</v>
      </c>
      <c r="K114" s="135">
        <f t="shared" si="88"/>
        <v>3.5792160039814516E-2</v>
      </c>
      <c r="L114" s="135">
        <f t="shared" si="88"/>
        <v>3.6318457582209814E-2</v>
      </c>
      <c r="M114" s="136">
        <f t="shared" si="88"/>
        <v>3.9440380441909742E-2</v>
      </c>
      <c r="N114" s="135">
        <f t="shared" si="88"/>
        <v>3.9745349209652038E-2</v>
      </c>
      <c r="O114" s="140">
        <f t="shared" si="88"/>
        <v>3.910697850389433E-2</v>
      </c>
      <c r="P114" s="135">
        <f t="shared" si="88"/>
        <v>3.8949307034289109E-2</v>
      </c>
      <c r="Q114" s="135">
        <f t="shared" si="88"/>
        <v>3.9252094013884992E-2</v>
      </c>
      <c r="R114" s="135">
        <f t="shared" si="88"/>
        <v>4.0572805207892158E-2</v>
      </c>
      <c r="S114" s="135">
        <f t="shared" si="88"/>
        <v>3.851095777153133E-2</v>
      </c>
      <c r="T114" s="135">
        <f t="shared" si="88"/>
        <v>3.6688882117393677E-2</v>
      </c>
      <c r="U114" s="141">
        <f t="shared" si="88"/>
        <v>1.6763085450759368E-2</v>
      </c>
      <c r="W114" s="142"/>
    </row>
    <row r="115" spans="2:23" ht="21" customHeight="1">
      <c r="B115" s="126" t="s">
        <v>179</v>
      </c>
      <c r="C115" s="127">
        <f>SUM(C116:C121)</f>
        <v>0.22381382337352321</v>
      </c>
      <c r="D115" s="127">
        <f t="shared" ref="D115:M115" si="89">SUM(D116:D121)</f>
        <v>0.35059486631201836</v>
      </c>
      <c r="E115" s="127">
        <f t="shared" si="89"/>
        <v>0.33826919432281605</v>
      </c>
      <c r="F115" s="128">
        <f t="shared" si="89"/>
        <v>0.26812757335074222</v>
      </c>
      <c r="G115" s="128">
        <f t="shared" si="89"/>
        <v>0.22792216628112671</v>
      </c>
      <c r="H115" s="128">
        <f t="shared" si="89"/>
        <v>0.25375174454324373</v>
      </c>
      <c r="I115" s="128">
        <f t="shared" si="89"/>
        <v>0.2656987082457713</v>
      </c>
      <c r="J115" s="128">
        <f t="shared" si="89"/>
        <v>0.30133058021703585</v>
      </c>
      <c r="K115" s="128">
        <f t="shared" si="89"/>
        <v>0.2988361298562292</v>
      </c>
      <c r="L115" s="128">
        <f t="shared" si="89"/>
        <v>0.31548272108725534</v>
      </c>
      <c r="M115" s="129">
        <f t="shared" si="89"/>
        <v>0.29383083429222756</v>
      </c>
      <c r="N115" s="128">
        <f t="shared" ref="N115:U115" si="90">SUM(N116:N121)</f>
        <v>0.26325448947098939</v>
      </c>
      <c r="O115" s="130">
        <f t="shared" si="90"/>
        <v>0.28511715723188069</v>
      </c>
      <c r="P115" s="128">
        <f t="shared" si="90"/>
        <v>0.27618599533405003</v>
      </c>
      <c r="Q115" s="128">
        <f t="shared" si="90"/>
        <v>0.26025844943988968</v>
      </c>
      <c r="R115" s="128">
        <f t="shared" si="90"/>
        <v>0.26703529958255556</v>
      </c>
      <c r="S115" s="128">
        <f t="shared" ref="S115:T115" si="91">SUM(S116:S121)</f>
        <v>0.25794318590723597</v>
      </c>
      <c r="T115" s="128">
        <f t="shared" si="91"/>
        <v>0.26338472591179163</v>
      </c>
      <c r="U115" s="131">
        <f t="shared" si="90"/>
        <v>0.11287144203511308</v>
      </c>
      <c r="W115" s="142"/>
    </row>
    <row r="116" spans="2:23" ht="19.5" customHeight="1">
      <c r="B116" s="133" t="s">
        <v>180</v>
      </c>
      <c r="C116" s="134">
        <f t="shared" ref="C116:U116" si="92">+C31/C$132*100</f>
        <v>0.10779538091907775</v>
      </c>
      <c r="D116" s="134">
        <f t="shared" si="92"/>
        <v>0.1105479308191049</v>
      </c>
      <c r="E116" s="134">
        <f t="shared" si="92"/>
        <v>0.13651578199456504</v>
      </c>
      <c r="F116" s="135">
        <f t="shared" si="92"/>
        <v>0.12604910377630002</v>
      </c>
      <c r="G116" s="135">
        <f t="shared" si="92"/>
        <v>0.13063001768948157</v>
      </c>
      <c r="H116" s="135">
        <f t="shared" si="92"/>
        <v>0.14375098828804447</v>
      </c>
      <c r="I116" s="135">
        <f t="shared" si="92"/>
        <v>0.14519376313430421</v>
      </c>
      <c r="J116" s="135">
        <f t="shared" si="92"/>
        <v>0.15288913202893886</v>
      </c>
      <c r="K116" s="135">
        <f t="shared" si="92"/>
        <v>0.17896080019907259</v>
      </c>
      <c r="L116" s="135">
        <f t="shared" si="92"/>
        <v>0.17400335647596046</v>
      </c>
      <c r="M116" s="136">
        <f t="shared" si="92"/>
        <v>0.16762161687811641</v>
      </c>
      <c r="N116" s="135">
        <f t="shared" si="92"/>
        <v>0.15617584277675037</v>
      </c>
      <c r="O116" s="140">
        <f t="shared" si="92"/>
        <v>0.16552256017927366</v>
      </c>
      <c r="P116" s="135">
        <f t="shared" si="92"/>
        <v>0.16110849727819584</v>
      </c>
      <c r="Q116" s="135">
        <f t="shared" si="92"/>
        <v>0.15359515048911521</v>
      </c>
      <c r="R116" s="135">
        <f t="shared" si="92"/>
        <v>0.15566708936905563</v>
      </c>
      <c r="S116" s="135">
        <f t="shared" si="92"/>
        <v>0.15123574041528454</v>
      </c>
      <c r="T116" s="135">
        <f t="shared" si="92"/>
        <v>0.14598797863448279</v>
      </c>
      <c r="U116" s="141">
        <f t="shared" si="92"/>
        <v>6.1837159662801226E-2</v>
      </c>
      <c r="W116" s="142"/>
    </row>
    <row r="117" spans="2:23" ht="19.5" customHeight="1">
      <c r="B117" s="133" t="s">
        <v>181</v>
      </c>
      <c r="C117" s="134">
        <f t="shared" ref="C117:U117" si="93">+C32/C$132*100</f>
        <v>8.646427079762882E-2</v>
      </c>
      <c r="D117" s="134">
        <f t="shared" si="93"/>
        <v>0.20775114713218923</v>
      </c>
      <c r="E117" s="134">
        <f t="shared" si="93"/>
        <v>0.17306093602408357</v>
      </c>
      <c r="F117" s="135">
        <f t="shared" si="93"/>
        <v>0.11220556058699539</v>
      </c>
      <c r="G117" s="135">
        <f t="shared" si="93"/>
        <v>6.9397196897537081E-2</v>
      </c>
      <c r="H117" s="135">
        <f t="shared" si="93"/>
        <v>8.1875562894494894E-2</v>
      </c>
      <c r="I117" s="135">
        <f t="shared" si="93"/>
        <v>8.4647376078298836E-2</v>
      </c>
      <c r="J117" s="135">
        <f t="shared" si="93"/>
        <v>0.11285997746136214</v>
      </c>
      <c r="K117" s="135">
        <f t="shared" si="93"/>
        <v>8.0674392470693038E-2</v>
      </c>
      <c r="L117" s="135">
        <f t="shared" si="93"/>
        <v>0.1029926409047741</v>
      </c>
      <c r="M117" s="136">
        <f t="shared" si="93"/>
        <v>8.8247851238773045E-2</v>
      </c>
      <c r="N117" s="135">
        <f t="shared" si="93"/>
        <v>7.2009220921016637E-2</v>
      </c>
      <c r="O117" s="140">
        <f t="shared" si="93"/>
        <v>7.8213957007788659E-2</v>
      </c>
      <c r="P117" s="135">
        <f t="shared" si="93"/>
        <v>7.3029950689292078E-2</v>
      </c>
      <c r="Q117" s="135">
        <f t="shared" si="93"/>
        <v>6.4424632566267778E-2</v>
      </c>
      <c r="R117" s="135">
        <f t="shared" si="93"/>
        <v>6.8725363923572438E-2</v>
      </c>
      <c r="S117" s="135">
        <f t="shared" si="93"/>
        <v>6.6591864479939603E-2</v>
      </c>
      <c r="T117" s="135">
        <f t="shared" si="93"/>
        <v>7.568041374006311E-2</v>
      </c>
      <c r="U117" s="141">
        <f t="shared" si="93"/>
        <v>3.0918579831400613E-2</v>
      </c>
      <c r="W117" s="142"/>
    </row>
    <row r="118" spans="2:23" ht="19.5" customHeight="1">
      <c r="B118" s="133" t="s">
        <v>182</v>
      </c>
      <c r="C118" s="134">
        <f t="shared" ref="C118:U118" si="94">+C33/C$132*100</f>
        <v>1.1398303118331484E-3</v>
      </c>
      <c r="D118" s="134">
        <f t="shared" si="94"/>
        <v>1.7371817700145053E-3</v>
      </c>
      <c r="E118" s="134">
        <f t="shared" si="94"/>
        <v>1.6611433649781145E-3</v>
      </c>
      <c r="F118" s="135">
        <f t="shared" si="94"/>
        <v>2.1858226088375724E-3</v>
      </c>
      <c r="G118" s="135">
        <f t="shared" si="94"/>
        <v>1.3607293509320995E-3</v>
      </c>
      <c r="H118" s="135">
        <f t="shared" si="94"/>
        <v>1.8750128907136236E-3</v>
      </c>
      <c r="I118" s="135">
        <f t="shared" si="94"/>
        <v>2.9391450027187092E-3</v>
      </c>
      <c r="J118" s="135">
        <f t="shared" si="94"/>
        <v>3.3357628806313928E-3</v>
      </c>
      <c r="K118" s="135">
        <f t="shared" si="94"/>
        <v>3.4087771466490015E-3</v>
      </c>
      <c r="L118" s="135">
        <f t="shared" si="94"/>
        <v>3.2523991864665501E-3</v>
      </c>
      <c r="M118" s="136">
        <f t="shared" si="94"/>
        <v>3.4510332886671029E-3</v>
      </c>
      <c r="N118" s="135">
        <f t="shared" si="94"/>
        <v>3.2731464055007556E-3</v>
      </c>
      <c r="O118" s="140">
        <f t="shared" si="94"/>
        <v>3.1831261572937242E-3</v>
      </c>
      <c r="P118" s="135">
        <f t="shared" si="94"/>
        <v>3.5408460940262831E-3</v>
      </c>
      <c r="Q118" s="135">
        <f t="shared" si="94"/>
        <v>2.9865723706216842E-3</v>
      </c>
      <c r="R118" s="135">
        <f t="shared" si="94"/>
        <v>3.3120657312565027E-3</v>
      </c>
      <c r="S118" s="135">
        <f t="shared" si="94"/>
        <v>3.2092464809609445E-3</v>
      </c>
      <c r="T118" s="135">
        <f t="shared" si="94"/>
        <v>3.070199340367672E-3</v>
      </c>
      <c r="U118" s="141">
        <f t="shared" si="94"/>
        <v>1.4900520400674994E-3</v>
      </c>
      <c r="W118" s="142"/>
    </row>
    <row r="119" spans="2:23" ht="19.5" customHeight="1">
      <c r="B119" s="133" t="s">
        <v>183</v>
      </c>
      <c r="C119" s="134">
        <f t="shared" ref="C119:U119" si="95">+C34/C$132*100</f>
        <v>0</v>
      </c>
      <c r="D119" s="134">
        <f t="shared" si="95"/>
        <v>0</v>
      </c>
      <c r="E119" s="134">
        <f t="shared" si="95"/>
        <v>0</v>
      </c>
      <c r="F119" s="135">
        <f t="shared" si="95"/>
        <v>0</v>
      </c>
      <c r="G119" s="135">
        <f t="shared" si="95"/>
        <v>0</v>
      </c>
      <c r="H119" s="135">
        <f t="shared" si="95"/>
        <v>1.2500085938090826E-3</v>
      </c>
      <c r="I119" s="135">
        <f t="shared" si="95"/>
        <v>7.0539480065249013E-3</v>
      </c>
      <c r="J119" s="135">
        <f t="shared" si="95"/>
        <v>7.7834467214732504E-3</v>
      </c>
      <c r="K119" s="135">
        <f t="shared" si="95"/>
        <v>7.3856838177395034E-3</v>
      </c>
      <c r="L119" s="135">
        <f t="shared" si="95"/>
        <v>7.5889314350886172E-3</v>
      </c>
      <c r="M119" s="136">
        <f t="shared" si="95"/>
        <v>5.9160570662864613E-3</v>
      </c>
      <c r="N119" s="135">
        <f t="shared" si="95"/>
        <v>4.6759234364296513E-3</v>
      </c>
      <c r="O119" s="140">
        <f t="shared" si="95"/>
        <v>9.0946461636963547E-3</v>
      </c>
      <c r="P119" s="135">
        <f t="shared" si="95"/>
        <v>8.8521152350657054E-3</v>
      </c>
      <c r="Q119" s="135">
        <f t="shared" si="95"/>
        <v>8.5330639160619559E-3</v>
      </c>
      <c r="R119" s="135">
        <f t="shared" si="95"/>
        <v>2.4426484768016704E-2</v>
      </c>
      <c r="S119" s="135">
        <f t="shared" si="95"/>
        <v>2.2865881176846729E-2</v>
      </c>
      <c r="T119" s="135">
        <f t="shared" si="95"/>
        <v>9.4408629716305915E-3</v>
      </c>
      <c r="U119" s="141">
        <f t="shared" si="95"/>
        <v>4.0976431101856234E-3</v>
      </c>
      <c r="W119" s="142"/>
    </row>
    <row r="120" spans="2:23" ht="19.5" customHeight="1">
      <c r="B120" s="133" t="s">
        <v>184</v>
      </c>
      <c r="C120" s="134"/>
      <c r="D120" s="134"/>
      <c r="E120" s="134"/>
      <c r="F120" s="135"/>
      <c r="G120" s="135"/>
      <c r="H120" s="135"/>
      <c r="I120" s="135"/>
      <c r="J120" s="135"/>
      <c r="K120" s="135"/>
      <c r="L120" s="135"/>
      <c r="M120" s="136"/>
      <c r="N120" s="135"/>
      <c r="O120" s="140">
        <f t="shared" ref="O120:U121" si="96">+O35/O$132*100</f>
        <v>2.7283938491089064E-3</v>
      </c>
      <c r="P120" s="135">
        <f t="shared" si="96"/>
        <v>3.9834518557795677E-3</v>
      </c>
      <c r="Q120" s="135">
        <f t="shared" si="96"/>
        <v>5.1198383496371741E-3</v>
      </c>
      <c r="R120" s="135">
        <f t="shared" si="96"/>
        <v>9.5221889773624436E-3</v>
      </c>
      <c r="S120" s="135">
        <f t="shared" si="96"/>
        <v>8.8254278226425984E-3</v>
      </c>
      <c r="T120" s="135">
        <f t="shared" si="96"/>
        <v>5.219338878625043E-3</v>
      </c>
      <c r="U120" s="141">
        <f t="shared" si="96"/>
        <v>2.6075910701181234E-3</v>
      </c>
      <c r="W120" s="142"/>
    </row>
    <row r="121" spans="2:23" ht="19.5" customHeight="1">
      <c r="B121" s="133" t="s">
        <v>185</v>
      </c>
      <c r="C121" s="134">
        <f t="shared" ref="C121:N121" si="97">+C36/C$132*100</f>
        <v>2.8414341344983485E-2</v>
      </c>
      <c r="D121" s="134">
        <f t="shared" si="97"/>
        <v>3.0558606590709712E-2</v>
      </c>
      <c r="E121" s="134">
        <f t="shared" si="97"/>
        <v>2.7031332939189322E-2</v>
      </c>
      <c r="F121" s="135">
        <f t="shared" si="97"/>
        <v>2.7687086378609248E-2</v>
      </c>
      <c r="G121" s="135">
        <f t="shared" si="97"/>
        <v>2.6534222343175942E-2</v>
      </c>
      <c r="H121" s="135">
        <f t="shared" si="97"/>
        <v>2.5000171876181646E-2</v>
      </c>
      <c r="I121" s="135">
        <f t="shared" si="97"/>
        <v>2.5864476023924644E-2</v>
      </c>
      <c r="J121" s="135">
        <f t="shared" si="97"/>
        <v>2.4462261124630222E-2</v>
      </c>
      <c r="K121" s="135">
        <f t="shared" si="97"/>
        <v>2.8406476222075018E-2</v>
      </c>
      <c r="L121" s="135">
        <f t="shared" si="97"/>
        <v>2.7645393084965678E-2</v>
      </c>
      <c r="M121" s="136">
        <f t="shared" si="97"/>
        <v>2.8594275820384565E-2</v>
      </c>
      <c r="N121" s="135">
        <f t="shared" si="97"/>
        <v>2.712035593129198E-2</v>
      </c>
      <c r="O121" s="140">
        <f t="shared" si="96"/>
        <v>2.6374473874719428E-2</v>
      </c>
      <c r="P121" s="135">
        <f t="shared" si="96"/>
        <v>2.5671134181690546E-2</v>
      </c>
      <c r="Q121" s="135">
        <f t="shared" si="96"/>
        <v>2.5599191748185868E-2</v>
      </c>
      <c r="R121" s="135">
        <f t="shared" si="96"/>
        <v>5.3821068132918169E-3</v>
      </c>
      <c r="S121" s="135">
        <f t="shared" si="96"/>
        <v>5.2150255315615351E-3</v>
      </c>
      <c r="T121" s="135">
        <f t="shared" si="96"/>
        <v>2.3985932346622437E-2</v>
      </c>
      <c r="U121" s="141">
        <f t="shared" si="96"/>
        <v>1.1920416320539995E-2</v>
      </c>
      <c r="W121" s="142"/>
    </row>
    <row r="122" spans="2:23" ht="17.25" customHeight="1">
      <c r="B122" s="148" t="s">
        <v>186</v>
      </c>
      <c r="C122" s="149">
        <f>SUM(C91,C93,C95,C111,C115)</f>
        <v>13.253865449545003</v>
      </c>
      <c r="D122" s="149">
        <f t="shared" ref="D122:M122" si="98">SUM(D91,D93,D95,D111,D115)</f>
        <v>13.403225946546916</v>
      </c>
      <c r="E122" s="149">
        <f t="shared" si="98"/>
        <v>12.01686211528486</v>
      </c>
      <c r="F122" s="150">
        <f t="shared" si="98"/>
        <v>11.841329679609409</v>
      </c>
      <c r="G122" s="150">
        <f t="shared" si="98"/>
        <v>12.678595727309839</v>
      </c>
      <c r="H122" s="150">
        <f t="shared" si="98"/>
        <v>12.835713245528568</v>
      </c>
      <c r="I122" s="150">
        <f t="shared" si="98"/>
        <v>12.582479756638794</v>
      </c>
      <c r="J122" s="150">
        <f t="shared" si="98"/>
        <v>13.408098898697883</v>
      </c>
      <c r="K122" s="150">
        <f t="shared" si="98"/>
        <v>14.421967977947487</v>
      </c>
      <c r="L122" s="150">
        <f t="shared" si="98"/>
        <v>14.295920624113723</v>
      </c>
      <c r="M122" s="151">
        <f t="shared" si="98"/>
        <v>14.028943323187297</v>
      </c>
      <c r="N122" s="150">
        <f t="shared" ref="N122:U122" si="99">SUM(N91,N93,N95,N111,N115)</f>
        <v>14.033849009756313</v>
      </c>
      <c r="O122" s="152">
        <f t="shared" si="99"/>
        <v>14.62510049584011</v>
      </c>
      <c r="P122" s="150">
        <f t="shared" si="99"/>
        <v>13.790710324708863</v>
      </c>
      <c r="Q122" s="150">
        <f t="shared" si="99"/>
        <v>14.146966666439118</v>
      </c>
      <c r="R122" s="150">
        <f t="shared" si="99"/>
        <v>13.680487502954986</v>
      </c>
      <c r="S122" s="150">
        <f t="shared" ref="S122:T122" si="100">SUM(S91,S93,S95,S111,S115)</f>
        <v>14.028017524090407</v>
      </c>
      <c r="T122" s="150">
        <f t="shared" si="100"/>
        <v>12.942463696811677</v>
      </c>
      <c r="U122" s="153">
        <f t="shared" si="99"/>
        <v>6.4467101513520353</v>
      </c>
      <c r="W122" s="142"/>
    </row>
    <row r="123" spans="2:23" ht="18" customHeight="1">
      <c r="B123" s="126" t="s">
        <v>187</v>
      </c>
      <c r="C123" s="127">
        <f t="shared" ref="C123:U123" si="101">SUM(C124:C126)</f>
        <v>6.2218451735920848</v>
      </c>
      <c r="D123" s="127">
        <f t="shared" si="101"/>
        <v>12.990961127399382</v>
      </c>
      <c r="E123" s="127">
        <f t="shared" si="101"/>
        <v>7.2372996151432858</v>
      </c>
      <c r="F123" s="128">
        <f t="shared" si="101"/>
        <v>8.6041263959209626</v>
      </c>
      <c r="G123" s="128">
        <f t="shared" si="101"/>
        <v>8.6311062729623078</v>
      </c>
      <c r="H123" s="128">
        <f t="shared" si="101"/>
        <v>9.8800679254669888</v>
      </c>
      <c r="I123" s="128">
        <f t="shared" si="101"/>
        <v>6.5701647390774021</v>
      </c>
      <c r="J123" s="128">
        <f t="shared" si="101"/>
        <v>6.7404648607958357</v>
      </c>
      <c r="K123" s="128">
        <f t="shared" si="101"/>
        <v>13.002212296368175</v>
      </c>
      <c r="L123" s="128">
        <f t="shared" si="101"/>
        <v>7.3623476250981144</v>
      </c>
      <c r="M123" s="129">
        <f t="shared" si="101"/>
        <v>9.9483429617162091</v>
      </c>
      <c r="N123" s="128">
        <f t="shared" si="101"/>
        <v>6.2666725895030186</v>
      </c>
      <c r="O123" s="130">
        <f t="shared" si="101"/>
        <v>6.4103613484813762</v>
      </c>
      <c r="P123" s="128">
        <f t="shared" si="101"/>
        <v>11.623269909403025</v>
      </c>
      <c r="Q123" s="128">
        <f t="shared" si="101"/>
        <v>6.2295633119210319</v>
      </c>
      <c r="R123" s="128">
        <f t="shared" si="101"/>
        <v>6.2121932871879775</v>
      </c>
      <c r="S123" s="128">
        <f t="shared" si="101"/>
        <v>6.9259550617238386</v>
      </c>
      <c r="T123" s="128">
        <f t="shared" si="101"/>
        <v>7.3392347681654098</v>
      </c>
      <c r="U123" s="131">
        <f t="shared" si="101"/>
        <v>3.8435892373541147</v>
      </c>
      <c r="W123" s="142"/>
    </row>
    <row r="124" spans="2:23" ht="18" customHeight="1">
      <c r="B124" s="133" t="s">
        <v>118</v>
      </c>
      <c r="C124" s="134">
        <f t="shared" ref="C124:U124" si="102">+C39/C$132*100</f>
        <v>2.712796142162893</v>
      </c>
      <c r="D124" s="134">
        <f t="shared" si="102"/>
        <v>8.5974705054172436</v>
      </c>
      <c r="E124" s="134">
        <f t="shared" si="102"/>
        <v>3.1810895439330897</v>
      </c>
      <c r="F124" s="135">
        <f t="shared" si="102"/>
        <v>4.0649014449016052</v>
      </c>
      <c r="G124" s="135">
        <f t="shared" si="102"/>
        <v>3.9461151177030889</v>
      </c>
      <c r="H124" s="135">
        <f t="shared" si="102"/>
        <v>5.4562875119766447</v>
      </c>
      <c r="I124" s="135">
        <f t="shared" si="102"/>
        <v>4.2641115699443031</v>
      </c>
      <c r="J124" s="135">
        <f t="shared" si="102"/>
        <v>3.8472465223282071</v>
      </c>
      <c r="K124" s="135">
        <f t="shared" si="102"/>
        <v>8.4208158112719165</v>
      </c>
      <c r="L124" s="135">
        <f t="shared" si="102"/>
        <v>4.1988473497283163</v>
      </c>
      <c r="M124" s="136">
        <f t="shared" si="102"/>
        <v>6.913405686711255</v>
      </c>
      <c r="N124" s="135">
        <f t="shared" si="102"/>
        <v>3.4700027821744444</v>
      </c>
      <c r="O124" s="140">
        <f t="shared" si="102"/>
        <v>3.4973461822494336</v>
      </c>
      <c r="P124" s="135">
        <f t="shared" si="102"/>
        <v>8.6445331328034154</v>
      </c>
      <c r="Q124" s="135">
        <f t="shared" si="102"/>
        <v>3.386346415089188</v>
      </c>
      <c r="R124" s="135">
        <f t="shared" si="102"/>
        <v>3.6805330438587887</v>
      </c>
      <c r="S124" s="135">
        <f t="shared" si="102"/>
        <v>3.8892055791145448</v>
      </c>
      <c r="T124" s="135">
        <f t="shared" si="102"/>
        <v>3.9057540908487334</v>
      </c>
      <c r="U124" s="141">
        <f t="shared" si="102"/>
        <v>1.9422828342279854</v>
      </c>
      <c r="W124" s="142"/>
    </row>
    <row r="125" spans="2:23" ht="18" customHeight="1">
      <c r="B125" s="133" t="s">
        <v>119</v>
      </c>
      <c r="C125" s="134">
        <f t="shared" ref="C125:U125" si="103">+C40/C$132*100</f>
        <v>1.0820246317330386</v>
      </c>
      <c r="D125" s="134">
        <f t="shared" si="103"/>
        <v>1.4481778937302741</v>
      </c>
      <c r="E125" s="134">
        <f t="shared" si="103"/>
        <v>1.0065018661435576</v>
      </c>
      <c r="F125" s="135">
        <f t="shared" si="103"/>
        <v>1.2546621774727664</v>
      </c>
      <c r="G125" s="135">
        <f t="shared" si="103"/>
        <v>0.7688120832766363</v>
      </c>
      <c r="H125" s="135">
        <f t="shared" si="103"/>
        <v>0.66312955901571824</v>
      </c>
      <c r="I125" s="135">
        <f t="shared" si="103"/>
        <v>0.31977897629579555</v>
      </c>
      <c r="J125" s="135">
        <f t="shared" si="103"/>
        <v>0.33913589286419166</v>
      </c>
      <c r="K125" s="135">
        <f t="shared" si="103"/>
        <v>0.46643433956647168</v>
      </c>
      <c r="L125" s="135">
        <f t="shared" si="103"/>
        <v>0.3062675900589335</v>
      </c>
      <c r="M125" s="136">
        <f t="shared" si="103"/>
        <v>0.28150571540413083</v>
      </c>
      <c r="N125" s="135">
        <f t="shared" si="103"/>
        <v>0.16412491261868078</v>
      </c>
      <c r="O125" s="140">
        <f t="shared" si="103"/>
        <v>0.21645257869597326</v>
      </c>
      <c r="P125" s="135">
        <f t="shared" si="103"/>
        <v>0.25671134181690547</v>
      </c>
      <c r="Q125" s="135">
        <f t="shared" si="103"/>
        <v>0.16127490801357097</v>
      </c>
      <c r="R125" s="135">
        <f t="shared" si="103"/>
        <v>0.13579469498151658</v>
      </c>
      <c r="S125" s="135">
        <f t="shared" si="103"/>
        <v>0.32092464809609444</v>
      </c>
      <c r="T125" s="135">
        <f t="shared" si="103"/>
        <v>0.33845109978378124</v>
      </c>
      <c r="U125" s="141">
        <f t="shared" si="103"/>
        <v>0.17508111470793117</v>
      </c>
      <c r="W125" s="142"/>
    </row>
    <row r="126" spans="2:23" ht="18" customHeight="1">
      <c r="B126" s="155" t="s">
        <v>188</v>
      </c>
      <c r="C126" s="156">
        <f t="shared" ref="C126:U126" si="104">+C41/C$132*100</f>
        <v>2.4270243996961534</v>
      </c>
      <c r="D126" s="156">
        <f t="shared" si="104"/>
        <v>2.9453127282518659</v>
      </c>
      <c r="E126" s="156">
        <f t="shared" si="104"/>
        <v>3.0497082050666382</v>
      </c>
      <c r="F126" s="157">
        <f t="shared" si="104"/>
        <v>3.2845627735465919</v>
      </c>
      <c r="G126" s="157">
        <f t="shared" si="104"/>
        <v>3.9161790719825826</v>
      </c>
      <c r="H126" s="157">
        <f t="shared" si="104"/>
        <v>3.7606508544746253</v>
      </c>
      <c r="I126" s="157">
        <f t="shared" si="104"/>
        <v>1.9862741928373033</v>
      </c>
      <c r="J126" s="157">
        <f t="shared" si="104"/>
        <v>2.5540824456034366</v>
      </c>
      <c r="K126" s="157">
        <f t="shared" si="104"/>
        <v>4.1149621455297867</v>
      </c>
      <c r="L126" s="157">
        <f t="shared" si="104"/>
        <v>2.8572326853108647</v>
      </c>
      <c r="M126" s="158">
        <f t="shared" si="104"/>
        <v>2.7534315596008239</v>
      </c>
      <c r="N126" s="157">
        <f t="shared" si="104"/>
        <v>2.6325448947098939</v>
      </c>
      <c r="O126" s="172">
        <f t="shared" si="104"/>
        <v>2.6965625875359693</v>
      </c>
      <c r="P126" s="157">
        <f t="shared" si="104"/>
        <v>2.7220254347827049</v>
      </c>
      <c r="Q126" s="157">
        <f t="shared" si="104"/>
        <v>2.6819419888182727</v>
      </c>
      <c r="R126" s="157">
        <f t="shared" si="104"/>
        <v>2.3958655483476727</v>
      </c>
      <c r="S126" s="157">
        <f t="shared" si="104"/>
        <v>2.715824834513199</v>
      </c>
      <c r="T126" s="157">
        <f t="shared" si="104"/>
        <v>3.0950295775328955</v>
      </c>
      <c r="U126" s="173">
        <f t="shared" si="104"/>
        <v>1.7262252884181979</v>
      </c>
      <c r="W126" s="142"/>
    </row>
    <row r="127" spans="2:23" ht="21" customHeight="1" thickBot="1">
      <c r="B127" s="160" t="s">
        <v>189</v>
      </c>
      <c r="C127" s="161">
        <f>SUM(C122,C123)</f>
        <v>19.47571062313709</v>
      </c>
      <c r="D127" s="161">
        <f t="shared" ref="D127:M127" si="105">SUM(D122,D123)</f>
        <v>26.394187073946298</v>
      </c>
      <c r="E127" s="161">
        <f t="shared" si="105"/>
        <v>19.254161730428144</v>
      </c>
      <c r="F127" s="162">
        <f t="shared" si="105"/>
        <v>20.445456075530373</v>
      </c>
      <c r="G127" s="162">
        <f t="shared" si="105"/>
        <v>21.309702000272146</v>
      </c>
      <c r="H127" s="162">
        <f t="shared" si="105"/>
        <v>22.715781170995555</v>
      </c>
      <c r="I127" s="162">
        <f t="shared" si="105"/>
        <v>19.152644495716196</v>
      </c>
      <c r="J127" s="162">
        <f t="shared" si="105"/>
        <v>20.148563759493719</v>
      </c>
      <c r="K127" s="162">
        <f t="shared" si="105"/>
        <v>27.42418027431566</v>
      </c>
      <c r="L127" s="162">
        <f t="shared" si="105"/>
        <v>21.658268249211837</v>
      </c>
      <c r="M127" s="163">
        <f t="shared" si="105"/>
        <v>23.977286284903506</v>
      </c>
      <c r="N127" s="162">
        <f t="shared" ref="N127:U127" si="106">SUM(N122,N123)</f>
        <v>20.300521599259334</v>
      </c>
      <c r="O127" s="164">
        <f t="shared" si="106"/>
        <v>21.035461844321485</v>
      </c>
      <c r="P127" s="162">
        <f t="shared" si="106"/>
        <v>25.413980234111889</v>
      </c>
      <c r="Q127" s="162">
        <f t="shared" si="106"/>
        <v>20.37652997836015</v>
      </c>
      <c r="R127" s="162">
        <f t="shared" si="106"/>
        <v>19.892680790142961</v>
      </c>
      <c r="S127" s="162">
        <f t="shared" ref="S127:T127" si="107">SUM(S122,S123)</f>
        <v>20.953972585814245</v>
      </c>
      <c r="T127" s="162">
        <f t="shared" si="107"/>
        <v>20.281698464977087</v>
      </c>
      <c r="U127" s="165">
        <f t="shared" si="106"/>
        <v>10.290299388706149</v>
      </c>
      <c r="W127" s="142"/>
    </row>
    <row r="128" spans="2:23">
      <c r="W128" s="142"/>
    </row>
    <row r="129" spans="2:23">
      <c r="W129" s="142"/>
    </row>
    <row r="130" spans="2:23">
      <c r="B130" s="179"/>
      <c r="C130" s="180">
        <v>2001</v>
      </c>
      <c r="D130" s="180">
        <v>2002</v>
      </c>
      <c r="E130" s="180">
        <v>2003</v>
      </c>
      <c r="F130" s="180">
        <v>2004</v>
      </c>
      <c r="G130" s="180">
        <v>2005</v>
      </c>
      <c r="H130" s="180">
        <v>2006</v>
      </c>
      <c r="I130" s="180">
        <v>2007</v>
      </c>
      <c r="J130" s="180">
        <v>2008</v>
      </c>
      <c r="K130" s="180">
        <v>2009</v>
      </c>
      <c r="L130" s="180">
        <v>2010</v>
      </c>
      <c r="M130" s="180">
        <v>2011</v>
      </c>
      <c r="N130" s="180">
        <v>2012</v>
      </c>
      <c r="O130" s="180">
        <v>2013</v>
      </c>
      <c r="P130" s="180">
        <v>2014</v>
      </c>
      <c r="Q130" s="180">
        <v>2015</v>
      </c>
      <c r="R130" s="180">
        <v>2016</v>
      </c>
      <c r="S130" s="180">
        <v>2017</v>
      </c>
      <c r="T130" s="180">
        <v>2018</v>
      </c>
      <c r="U130" s="180">
        <v>2019</v>
      </c>
      <c r="W130" s="142"/>
    </row>
    <row r="131" spans="2:23" ht="15.75">
      <c r="B131" s="181"/>
      <c r="C131" s="182"/>
      <c r="D131" s="182"/>
      <c r="E131" s="181"/>
      <c r="F131" s="181"/>
      <c r="G131" s="181"/>
      <c r="H131" s="181"/>
      <c r="I131" s="181"/>
      <c r="J131" s="181"/>
      <c r="K131" s="181"/>
      <c r="L131" s="183"/>
      <c r="M131" s="183"/>
      <c r="N131" s="183"/>
      <c r="O131" s="183"/>
      <c r="P131" s="183"/>
      <c r="Q131" s="183"/>
      <c r="R131" s="183"/>
      <c r="S131" s="183"/>
      <c r="T131" s="183"/>
      <c r="U131" s="183"/>
      <c r="W131" s="142"/>
    </row>
    <row r="132" spans="2:23" ht="15.75">
      <c r="B132" s="181" t="s">
        <v>194</v>
      </c>
      <c r="C132" s="184">
        <v>12282.53</v>
      </c>
      <c r="D132" s="184">
        <v>12664.19</v>
      </c>
      <c r="E132" s="184">
        <v>13243.89</v>
      </c>
      <c r="F132" s="184">
        <v>13724.81</v>
      </c>
      <c r="G132" s="184">
        <v>14698</v>
      </c>
      <c r="H132" s="184">
        <v>15999.89</v>
      </c>
      <c r="I132" s="184">
        <v>17011.75</v>
      </c>
      <c r="J132" s="184">
        <v>17986.89</v>
      </c>
      <c r="K132" s="184">
        <v>17601.62</v>
      </c>
      <c r="L132" s="184">
        <v>18447.919999999998</v>
      </c>
      <c r="M132" s="184">
        <v>20283.78</v>
      </c>
      <c r="N132" s="184">
        <v>21386.15</v>
      </c>
      <c r="O132" s="184">
        <v>21990.959999999999</v>
      </c>
      <c r="P132" s="184">
        <v>22593.47</v>
      </c>
      <c r="Q132" s="184">
        <v>23438.240000000002</v>
      </c>
      <c r="R132" s="184">
        <v>24154.11</v>
      </c>
      <c r="S132" s="184">
        <v>24927.97</v>
      </c>
      <c r="T132" s="184">
        <v>26056.94</v>
      </c>
      <c r="U132" s="184">
        <v>26844.7</v>
      </c>
      <c r="W132" s="142"/>
    </row>
    <row r="133" spans="2:23">
      <c r="W133" s="142"/>
    </row>
    <row r="134" spans="2:23">
      <c r="W134" s="142"/>
    </row>
  </sheetData>
  <mergeCells count="3">
    <mergeCell ref="B2:U2"/>
    <mergeCell ref="B3:U3"/>
    <mergeCell ref="B4:U4"/>
  </mergeCells>
  <printOptions horizontalCentered="1"/>
  <pageMargins left="0.7" right="0.7" top="0.75" bottom="0.75" header="0.3" footer="0.3"/>
  <pageSetup scale="30" orientation="portrait" r:id="rId1"/>
  <ignoredErrors>
    <ignoredError sqref="U53 U69 U73 U95 U111 U115 U92:U93 U50:U51 L50:R51 L92:R93 L115:R115 L111:R111 L95:R95 L73:R73 L69:R69 L53:R53 S50:S51 S92:S93 S115 S111 S95 S73 S69 S53" formula="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A1:J70"/>
  <sheetViews>
    <sheetView workbookViewId="0">
      <pane xSplit="2" ySplit="5" topLeftCell="D6" activePane="bottomRight" state="frozen"/>
      <selection pane="topRight" activeCell="C1" sqref="C1"/>
      <selection pane="bottomLeft" activeCell="A6" sqref="A6"/>
      <selection pane="bottomRight" activeCell="G9" sqref="G9"/>
    </sheetView>
  </sheetViews>
  <sheetFormatPr baseColWidth="10" defaultRowHeight="18.75"/>
  <cols>
    <col min="1" max="1" width="9.7109375" style="78" customWidth="1"/>
    <col min="2" max="2" width="63.42578125" style="78" customWidth="1"/>
    <col min="3" max="3" width="12.7109375" style="78" hidden="1" customWidth="1"/>
    <col min="4" max="5" width="12.7109375" style="78" customWidth="1"/>
    <col min="6" max="6" width="12.7109375" style="78" hidden="1" customWidth="1"/>
    <col min="7" max="10" width="12.7109375" style="78" customWidth="1"/>
    <col min="11" max="256" width="11.42578125" style="78"/>
    <col min="257" max="257" width="9.7109375" style="78" customWidth="1"/>
    <col min="258" max="258" width="72.7109375" style="78" customWidth="1"/>
    <col min="259" max="259" width="0" style="78" hidden="1" customWidth="1"/>
    <col min="260" max="261" width="12.7109375" style="78" customWidth="1"/>
    <col min="262" max="262" width="0" style="78" hidden="1" customWidth="1"/>
    <col min="263" max="266" width="12.7109375" style="78" customWidth="1"/>
    <col min="267" max="512" width="11.42578125" style="78"/>
    <col min="513" max="513" width="9.7109375" style="78" customWidth="1"/>
    <col min="514" max="514" width="72.7109375" style="78" customWidth="1"/>
    <col min="515" max="515" width="0" style="78" hidden="1" customWidth="1"/>
    <col min="516" max="517" width="12.7109375" style="78" customWidth="1"/>
    <col min="518" max="518" width="0" style="78" hidden="1" customWidth="1"/>
    <col min="519" max="522" width="12.7109375" style="78" customWidth="1"/>
    <col min="523" max="768" width="11.42578125" style="78"/>
    <col min="769" max="769" width="9.7109375" style="78" customWidth="1"/>
    <col min="770" max="770" width="72.7109375" style="78" customWidth="1"/>
    <col min="771" max="771" width="0" style="78" hidden="1" customWidth="1"/>
    <col min="772" max="773" width="12.7109375" style="78" customWidth="1"/>
    <col min="774" max="774" width="0" style="78" hidden="1" customWidth="1"/>
    <col min="775" max="778" width="12.7109375" style="78" customWidth="1"/>
    <col min="779" max="1024" width="11.42578125" style="78"/>
    <col min="1025" max="1025" width="9.7109375" style="78" customWidth="1"/>
    <col min="1026" max="1026" width="72.7109375" style="78" customWidth="1"/>
    <col min="1027" max="1027" width="0" style="78" hidden="1" customWidth="1"/>
    <col min="1028" max="1029" width="12.7109375" style="78" customWidth="1"/>
    <col min="1030" max="1030" width="0" style="78" hidden="1" customWidth="1"/>
    <col min="1031" max="1034" width="12.7109375" style="78" customWidth="1"/>
    <col min="1035" max="1280" width="11.42578125" style="78"/>
    <col min="1281" max="1281" width="9.7109375" style="78" customWidth="1"/>
    <col min="1282" max="1282" width="72.7109375" style="78" customWidth="1"/>
    <col min="1283" max="1283" width="0" style="78" hidden="1" customWidth="1"/>
    <col min="1284" max="1285" width="12.7109375" style="78" customWidth="1"/>
    <col min="1286" max="1286" width="0" style="78" hidden="1" customWidth="1"/>
    <col min="1287" max="1290" width="12.7109375" style="78" customWidth="1"/>
    <col min="1291" max="1536" width="11.42578125" style="78"/>
    <col min="1537" max="1537" width="9.7109375" style="78" customWidth="1"/>
    <col min="1538" max="1538" width="72.7109375" style="78" customWidth="1"/>
    <col min="1539" max="1539" width="0" style="78" hidden="1" customWidth="1"/>
    <col min="1540" max="1541" width="12.7109375" style="78" customWidth="1"/>
    <col min="1542" max="1542" width="0" style="78" hidden="1" customWidth="1"/>
    <col min="1543" max="1546" width="12.7109375" style="78" customWidth="1"/>
    <col min="1547" max="1792" width="11.42578125" style="78"/>
    <col min="1793" max="1793" width="9.7109375" style="78" customWidth="1"/>
    <col min="1794" max="1794" width="72.7109375" style="78" customWidth="1"/>
    <col min="1795" max="1795" width="0" style="78" hidden="1" customWidth="1"/>
    <col min="1796" max="1797" width="12.7109375" style="78" customWidth="1"/>
    <col min="1798" max="1798" width="0" style="78" hidden="1" customWidth="1"/>
    <col min="1799" max="1802" width="12.7109375" style="78" customWidth="1"/>
    <col min="1803" max="2048" width="11.42578125" style="78"/>
    <col min="2049" max="2049" width="9.7109375" style="78" customWidth="1"/>
    <col min="2050" max="2050" width="72.7109375" style="78" customWidth="1"/>
    <col min="2051" max="2051" width="0" style="78" hidden="1" customWidth="1"/>
    <col min="2052" max="2053" width="12.7109375" style="78" customWidth="1"/>
    <col min="2054" max="2054" width="0" style="78" hidden="1" customWidth="1"/>
    <col min="2055" max="2058" width="12.7109375" style="78" customWidth="1"/>
    <col min="2059" max="2304" width="11.42578125" style="78"/>
    <col min="2305" max="2305" width="9.7109375" style="78" customWidth="1"/>
    <col min="2306" max="2306" width="72.7109375" style="78" customWidth="1"/>
    <col min="2307" max="2307" width="0" style="78" hidden="1" customWidth="1"/>
    <col min="2308" max="2309" width="12.7109375" style="78" customWidth="1"/>
    <col min="2310" max="2310" width="0" style="78" hidden="1" customWidth="1"/>
    <col min="2311" max="2314" width="12.7109375" style="78" customWidth="1"/>
    <col min="2315" max="2560" width="11.42578125" style="78"/>
    <col min="2561" max="2561" width="9.7109375" style="78" customWidth="1"/>
    <col min="2562" max="2562" width="72.7109375" style="78" customWidth="1"/>
    <col min="2563" max="2563" width="0" style="78" hidden="1" customWidth="1"/>
    <col min="2564" max="2565" width="12.7109375" style="78" customWidth="1"/>
    <col min="2566" max="2566" width="0" style="78" hidden="1" customWidth="1"/>
    <col min="2567" max="2570" width="12.7109375" style="78" customWidth="1"/>
    <col min="2571" max="2816" width="11.42578125" style="78"/>
    <col min="2817" max="2817" width="9.7109375" style="78" customWidth="1"/>
    <col min="2818" max="2818" width="72.7109375" style="78" customWidth="1"/>
    <col min="2819" max="2819" width="0" style="78" hidden="1" customWidth="1"/>
    <col min="2820" max="2821" width="12.7109375" style="78" customWidth="1"/>
    <col min="2822" max="2822" width="0" style="78" hidden="1" customWidth="1"/>
    <col min="2823" max="2826" width="12.7109375" style="78" customWidth="1"/>
    <col min="2827" max="3072" width="11.42578125" style="78"/>
    <col min="3073" max="3073" width="9.7109375" style="78" customWidth="1"/>
    <col min="3074" max="3074" width="72.7109375" style="78" customWidth="1"/>
    <col min="3075" max="3075" width="0" style="78" hidden="1" customWidth="1"/>
    <col min="3076" max="3077" width="12.7109375" style="78" customWidth="1"/>
    <col min="3078" max="3078" width="0" style="78" hidden="1" customWidth="1"/>
    <col min="3079" max="3082" width="12.7109375" style="78" customWidth="1"/>
    <col min="3083" max="3328" width="11.42578125" style="78"/>
    <col min="3329" max="3329" width="9.7109375" style="78" customWidth="1"/>
    <col min="3330" max="3330" width="72.7109375" style="78" customWidth="1"/>
    <col min="3331" max="3331" width="0" style="78" hidden="1" customWidth="1"/>
    <col min="3332" max="3333" width="12.7109375" style="78" customWidth="1"/>
    <col min="3334" max="3334" width="0" style="78" hidden="1" customWidth="1"/>
    <col min="3335" max="3338" width="12.7109375" style="78" customWidth="1"/>
    <col min="3339" max="3584" width="11.42578125" style="78"/>
    <col min="3585" max="3585" width="9.7109375" style="78" customWidth="1"/>
    <col min="3586" max="3586" width="72.7109375" style="78" customWidth="1"/>
    <col min="3587" max="3587" width="0" style="78" hidden="1" customWidth="1"/>
    <col min="3588" max="3589" width="12.7109375" style="78" customWidth="1"/>
    <col min="3590" max="3590" width="0" style="78" hidden="1" customWidth="1"/>
    <col min="3591" max="3594" width="12.7109375" style="78" customWidth="1"/>
    <col min="3595" max="3840" width="11.42578125" style="78"/>
    <col min="3841" max="3841" width="9.7109375" style="78" customWidth="1"/>
    <col min="3842" max="3842" width="72.7109375" style="78" customWidth="1"/>
    <col min="3843" max="3843" width="0" style="78" hidden="1" customWidth="1"/>
    <col min="3844" max="3845" width="12.7109375" style="78" customWidth="1"/>
    <col min="3846" max="3846" width="0" style="78" hidden="1" customWidth="1"/>
    <col min="3847" max="3850" width="12.7109375" style="78" customWidth="1"/>
    <col min="3851" max="4096" width="11.42578125" style="78"/>
    <col min="4097" max="4097" width="9.7109375" style="78" customWidth="1"/>
    <col min="4098" max="4098" width="72.7109375" style="78" customWidth="1"/>
    <col min="4099" max="4099" width="0" style="78" hidden="1" customWidth="1"/>
    <col min="4100" max="4101" width="12.7109375" style="78" customWidth="1"/>
    <col min="4102" max="4102" width="0" style="78" hidden="1" customWidth="1"/>
    <col min="4103" max="4106" width="12.7109375" style="78" customWidth="1"/>
    <col min="4107" max="4352" width="11.42578125" style="78"/>
    <col min="4353" max="4353" width="9.7109375" style="78" customWidth="1"/>
    <col min="4354" max="4354" width="72.7109375" style="78" customWidth="1"/>
    <col min="4355" max="4355" width="0" style="78" hidden="1" customWidth="1"/>
    <col min="4356" max="4357" width="12.7109375" style="78" customWidth="1"/>
    <col min="4358" max="4358" width="0" style="78" hidden="1" customWidth="1"/>
    <col min="4359" max="4362" width="12.7109375" style="78" customWidth="1"/>
    <col min="4363" max="4608" width="11.42578125" style="78"/>
    <col min="4609" max="4609" width="9.7109375" style="78" customWidth="1"/>
    <col min="4610" max="4610" width="72.7109375" style="78" customWidth="1"/>
    <col min="4611" max="4611" width="0" style="78" hidden="1" customWidth="1"/>
    <col min="4612" max="4613" width="12.7109375" style="78" customWidth="1"/>
    <col min="4614" max="4614" width="0" style="78" hidden="1" customWidth="1"/>
    <col min="4615" max="4618" width="12.7109375" style="78" customWidth="1"/>
    <col min="4619" max="4864" width="11.42578125" style="78"/>
    <col min="4865" max="4865" width="9.7109375" style="78" customWidth="1"/>
    <col min="4866" max="4866" width="72.7109375" style="78" customWidth="1"/>
    <col min="4867" max="4867" width="0" style="78" hidden="1" customWidth="1"/>
    <col min="4868" max="4869" width="12.7109375" style="78" customWidth="1"/>
    <col min="4870" max="4870" width="0" style="78" hidden="1" customWidth="1"/>
    <col min="4871" max="4874" width="12.7109375" style="78" customWidth="1"/>
    <col min="4875" max="5120" width="11.42578125" style="78"/>
    <col min="5121" max="5121" width="9.7109375" style="78" customWidth="1"/>
    <col min="5122" max="5122" width="72.7109375" style="78" customWidth="1"/>
    <col min="5123" max="5123" width="0" style="78" hidden="1" customWidth="1"/>
    <col min="5124" max="5125" width="12.7109375" style="78" customWidth="1"/>
    <col min="5126" max="5126" width="0" style="78" hidden="1" customWidth="1"/>
    <col min="5127" max="5130" width="12.7109375" style="78" customWidth="1"/>
    <col min="5131" max="5376" width="11.42578125" style="78"/>
    <col min="5377" max="5377" width="9.7109375" style="78" customWidth="1"/>
    <col min="5378" max="5378" width="72.7109375" style="78" customWidth="1"/>
    <col min="5379" max="5379" width="0" style="78" hidden="1" customWidth="1"/>
    <col min="5380" max="5381" width="12.7109375" style="78" customWidth="1"/>
    <col min="5382" max="5382" width="0" style="78" hidden="1" customWidth="1"/>
    <col min="5383" max="5386" width="12.7109375" style="78" customWidth="1"/>
    <col min="5387" max="5632" width="11.42578125" style="78"/>
    <col min="5633" max="5633" width="9.7109375" style="78" customWidth="1"/>
    <col min="5634" max="5634" width="72.7109375" style="78" customWidth="1"/>
    <col min="5635" max="5635" width="0" style="78" hidden="1" customWidth="1"/>
    <col min="5636" max="5637" width="12.7109375" style="78" customWidth="1"/>
    <col min="5638" max="5638" width="0" style="78" hidden="1" customWidth="1"/>
    <col min="5639" max="5642" width="12.7109375" style="78" customWidth="1"/>
    <col min="5643" max="5888" width="11.42578125" style="78"/>
    <col min="5889" max="5889" width="9.7109375" style="78" customWidth="1"/>
    <col min="5890" max="5890" width="72.7109375" style="78" customWidth="1"/>
    <col min="5891" max="5891" width="0" style="78" hidden="1" customWidth="1"/>
    <col min="5892" max="5893" width="12.7109375" style="78" customWidth="1"/>
    <col min="5894" max="5894" width="0" style="78" hidden="1" customWidth="1"/>
    <col min="5895" max="5898" width="12.7109375" style="78" customWidth="1"/>
    <col min="5899" max="6144" width="11.42578125" style="78"/>
    <col min="6145" max="6145" width="9.7109375" style="78" customWidth="1"/>
    <col min="6146" max="6146" width="72.7109375" style="78" customWidth="1"/>
    <col min="6147" max="6147" width="0" style="78" hidden="1" customWidth="1"/>
    <col min="6148" max="6149" width="12.7109375" style="78" customWidth="1"/>
    <col min="6150" max="6150" width="0" style="78" hidden="1" customWidth="1"/>
    <col min="6151" max="6154" width="12.7109375" style="78" customWidth="1"/>
    <col min="6155" max="6400" width="11.42578125" style="78"/>
    <col min="6401" max="6401" width="9.7109375" style="78" customWidth="1"/>
    <col min="6402" max="6402" width="72.7109375" style="78" customWidth="1"/>
    <col min="6403" max="6403" width="0" style="78" hidden="1" customWidth="1"/>
    <col min="6404" max="6405" width="12.7109375" style="78" customWidth="1"/>
    <col min="6406" max="6406" width="0" style="78" hidden="1" customWidth="1"/>
    <col min="6407" max="6410" width="12.7109375" style="78" customWidth="1"/>
    <col min="6411" max="6656" width="11.42578125" style="78"/>
    <col min="6657" max="6657" width="9.7109375" style="78" customWidth="1"/>
    <col min="6658" max="6658" width="72.7109375" style="78" customWidth="1"/>
    <col min="6659" max="6659" width="0" style="78" hidden="1" customWidth="1"/>
    <col min="6660" max="6661" width="12.7109375" style="78" customWidth="1"/>
    <col min="6662" max="6662" width="0" style="78" hidden="1" customWidth="1"/>
    <col min="6663" max="6666" width="12.7109375" style="78" customWidth="1"/>
    <col min="6667" max="6912" width="11.42578125" style="78"/>
    <col min="6913" max="6913" width="9.7109375" style="78" customWidth="1"/>
    <col min="6914" max="6914" width="72.7109375" style="78" customWidth="1"/>
    <col min="6915" max="6915" width="0" style="78" hidden="1" customWidth="1"/>
    <col min="6916" max="6917" width="12.7109375" style="78" customWidth="1"/>
    <col min="6918" max="6918" width="0" style="78" hidden="1" customWidth="1"/>
    <col min="6919" max="6922" width="12.7109375" style="78" customWidth="1"/>
    <col min="6923" max="7168" width="11.42578125" style="78"/>
    <col min="7169" max="7169" width="9.7109375" style="78" customWidth="1"/>
    <col min="7170" max="7170" width="72.7109375" style="78" customWidth="1"/>
    <col min="7171" max="7171" width="0" style="78" hidden="1" customWidth="1"/>
    <col min="7172" max="7173" width="12.7109375" style="78" customWidth="1"/>
    <col min="7174" max="7174" width="0" style="78" hidden="1" customWidth="1"/>
    <col min="7175" max="7178" width="12.7109375" style="78" customWidth="1"/>
    <col min="7179" max="7424" width="11.42578125" style="78"/>
    <col min="7425" max="7425" width="9.7109375" style="78" customWidth="1"/>
    <col min="7426" max="7426" width="72.7109375" style="78" customWidth="1"/>
    <col min="7427" max="7427" width="0" style="78" hidden="1" customWidth="1"/>
    <col min="7428" max="7429" width="12.7109375" style="78" customWidth="1"/>
    <col min="7430" max="7430" width="0" style="78" hidden="1" customWidth="1"/>
    <col min="7431" max="7434" width="12.7109375" style="78" customWidth="1"/>
    <col min="7435" max="7680" width="11.42578125" style="78"/>
    <col min="7681" max="7681" width="9.7109375" style="78" customWidth="1"/>
    <col min="7682" max="7682" width="72.7109375" style="78" customWidth="1"/>
    <col min="7683" max="7683" width="0" style="78" hidden="1" customWidth="1"/>
    <col min="7684" max="7685" width="12.7109375" style="78" customWidth="1"/>
    <col min="7686" max="7686" width="0" style="78" hidden="1" customWidth="1"/>
    <col min="7687" max="7690" width="12.7109375" style="78" customWidth="1"/>
    <col min="7691" max="7936" width="11.42578125" style="78"/>
    <col min="7937" max="7937" width="9.7109375" style="78" customWidth="1"/>
    <col min="7938" max="7938" width="72.7109375" style="78" customWidth="1"/>
    <col min="7939" max="7939" width="0" style="78" hidden="1" customWidth="1"/>
    <col min="7940" max="7941" width="12.7109375" style="78" customWidth="1"/>
    <col min="7942" max="7942" width="0" style="78" hidden="1" customWidth="1"/>
    <col min="7943" max="7946" width="12.7109375" style="78" customWidth="1"/>
    <col min="7947" max="8192" width="11.42578125" style="78"/>
    <col min="8193" max="8193" width="9.7109375" style="78" customWidth="1"/>
    <col min="8194" max="8194" width="72.7109375" style="78" customWidth="1"/>
    <col min="8195" max="8195" width="0" style="78" hidden="1" customWidth="1"/>
    <col min="8196" max="8197" width="12.7109375" style="78" customWidth="1"/>
    <col min="8198" max="8198" width="0" style="78" hidden="1" customWidth="1"/>
    <col min="8199" max="8202" width="12.7109375" style="78" customWidth="1"/>
    <col min="8203" max="8448" width="11.42578125" style="78"/>
    <col min="8449" max="8449" width="9.7109375" style="78" customWidth="1"/>
    <col min="8450" max="8450" width="72.7109375" style="78" customWidth="1"/>
    <col min="8451" max="8451" width="0" style="78" hidden="1" customWidth="1"/>
    <col min="8452" max="8453" width="12.7109375" style="78" customWidth="1"/>
    <col min="8454" max="8454" width="0" style="78" hidden="1" customWidth="1"/>
    <col min="8455" max="8458" width="12.7109375" style="78" customWidth="1"/>
    <col min="8459" max="8704" width="11.42578125" style="78"/>
    <col min="8705" max="8705" width="9.7109375" style="78" customWidth="1"/>
    <col min="8706" max="8706" width="72.7109375" style="78" customWidth="1"/>
    <col min="8707" max="8707" width="0" style="78" hidden="1" customWidth="1"/>
    <col min="8708" max="8709" width="12.7109375" style="78" customWidth="1"/>
    <col min="8710" max="8710" width="0" style="78" hidden="1" customWidth="1"/>
    <col min="8711" max="8714" width="12.7109375" style="78" customWidth="1"/>
    <col min="8715" max="8960" width="11.42578125" style="78"/>
    <col min="8961" max="8961" width="9.7109375" style="78" customWidth="1"/>
    <col min="8962" max="8962" width="72.7109375" style="78" customWidth="1"/>
    <col min="8963" max="8963" width="0" style="78" hidden="1" customWidth="1"/>
    <col min="8964" max="8965" width="12.7109375" style="78" customWidth="1"/>
    <col min="8966" max="8966" width="0" style="78" hidden="1" customWidth="1"/>
    <col min="8967" max="8970" width="12.7109375" style="78" customWidth="1"/>
    <col min="8971" max="9216" width="11.42578125" style="78"/>
    <col min="9217" max="9217" width="9.7109375" style="78" customWidth="1"/>
    <col min="9218" max="9218" width="72.7109375" style="78" customWidth="1"/>
    <col min="9219" max="9219" width="0" style="78" hidden="1" customWidth="1"/>
    <col min="9220" max="9221" width="12.7109375" style="78" customWidth="1"/>
    <col min="9222" max="9222" width="0" style="78" hidden="1" customWidth="1"/>
    <col min="9223" max="9226" width="12.7109375" style="78" customWidth="1"/>
    <col min="9227" max="9472" width="11.42578125" style="78"/>
    <col min="9473" max="9473" width="9.7109375" style="78" customWidth="1"/>
    <col min="9474" max="9474" width="72.7109375" style="78" customWidth="1"/>
    <col min="9475" max="9475" width="0" style="78" hidden="1" customWidth="1"/>
    <col min="9476" max="9477" width="12.7109375" style="78" customWidth="1"/>
    <col min="9478" max="9478" width="0" style="78" hidden="1" customWidth="1"/>
    <col min="9479" max="9482" width="12.7109375" style="78" customWidth="1"/>
    <col min="9483" max="9728" width="11.42578125" style="78"/>
    <col min="9729" max="9729" width="9.7109375" style="78" customWidth="1"/>
    <col min="9730" max="9730" width="72.7109375" style="78" customWidth="1"/>
    <col min="9731" max="9731" width="0" style="78" hidden="1" customWidth="1"/>
    <col min="9732" max="9733" width="12.7109375" style="78" customWidth="1"/>
    <col min="9734" max="9734" width="0" style="78" hidden="1" customWidth="1"/>
    <col min="9735" max="9738" width="12.7109375" style="78" customWidth="1"/>
    <col min="9739" max="9984" width="11.42578125" style="78"/>
    <col min="9985" max="9985" width="9.7109375" style="78" customWidth="1"/>
    <col min="9986" max="9986" width="72.7109375" style="78" customWidth="1"/>
    <col min="9987" max="9987" width="0" style="78" hidden="1" customWidth="1"/>
    <col min="9988" max="9989" width="12.7109375" style="78" customWidth="1"/>
    <col min="9990" max="9990" width="0" style="78" hidden="1" customWidth="1"/>
    <col min="9991" max="9994" width="12.7109375" style="78" customWidth="1"/>
    <col min="9995" max="10240" width="11.42578125" style="78"/>
    <col min="10241" max="10241" width="9.7109375" style="78" customWidth="1"/>
    <col min="10242" max="10242" width="72.7109375" style="78" customWidth="1"/>
    <col min="10243" max="10243" width="0" style="78" hidden="1" customWidth="1"/>
    <col min="10244" max="10245" width="12.7109375" style="78" customWidth="1"/>
    <col min="10246" max="10246" width="0" style="78" hidden="1" customWidth="1"/>
    <col min="10247" max="10250" width="12.7109375" style="78" customWidth="1"/>
    <col min="10251" max="10496" width="11.42578125" style="78"/>
    <col min="10497" max="10497" width="9.7109375" style="78" customWidth="1"/>
    <col min="10498" max="10498" width="72.7109375" style="78" customWidth="1"/>
    <col min="10499" max="10499" width="0" style="78" hidden="1" customWidth="1"/>
    <col min="10500" max="10501" width="12.7109375" style="78" customWidth="1"/>
    <col min="10502" max="10502" width="0" style="78" hidden="1" customWidth="1"/>
    <col min="10503" max="10506" width="12.7109375" style="78" customWidth="1"/>
    <col min="10507" max="10752" width="11.42578125" style="78"/>
    <col min="10753" max="10753" width="9.7109375" style="78" customWidth="1"/>
    <col min="10754" max="10754" width="72.7109375" style="78" customWidth="1"/>
    <col min="10755" max="10755" width="0" style="78" hidden="1" customWidth="1"/>
    <col min="10756" max="10757" width="12.7109375" style="78" customWidth="1"/>
    <col min="10758" max="10758" width="0" style="78" hidden="1" customWidth="1"/>
    <col min="10759" max="10762" width="12.7109375" style="78" customWidth="1"/>
    <col min="10763" max="11008" width="11.42578125" style="78"/>
    <col min="11009" max="11009" width="9.7109375" style="78" customWidth="1"/>
    <col min="11010" max="11010" width="72.7109375" style="78" customWidth="1"/>
    <col min="11011" max="11011" width="0" style="78" hidden="1" customWidth="1"/>
    <col min="11012" max="11013" width="12.7109375" style="78" customWidth="1"/>
    <col min="11014" max="11014" width="0" style="78" hidden="1" customWidth="1"/>
    <col min="11015" max="11018" width="12.7109375" style="78" customWidth="1"/>
    <col min="11019" max="11264" width="11.42578125" style="78"/>
    <col min="11265" max="11265" width="9.7109375" style="78" customWidth="1"/>
    <col min="11266" max="11266" width="72.7109375" style="78" customWidth="1"/>
    <col min="11267" max="11267" width="0" style="78" hidden="1" customWidth="1"/>
    <col min="11268" max="11269" width="12.7109375" style="78" customWidth="1"/>
    <col min="11270" max="11270" width="0" style="78" hidden="1" customWidth="1"/>
    <col min="11271" max="11274" width="12.7109375" style="78" customWidth="1"/>
    <col min="11275" max="11520" width="11.42578125" style="78"/>
    <col min="11521" max="11521" width="9.7109375" style="78" customWidth="1"/>
    <col min="11522" max="11522" width="72.7109375" style="78" customWidth="1"/>
    <col min="11523" max="11523" width="0" style="78" hidden="1" customWidth="1"/>
    <col min="11524" max="11525" width="12.7109375" style="78" customWidth="1"/>
    <col min="11526" max="11526" width="0" style="78" hidden="1" customWidth="1"/>
    <col min="11527" max="11530" width="12.7109375" style="78" customWidth="1"/>
    <col min="11531" max="11776" width="11.42578125" style="78"/>
    <col min="11777" max="11777" width="9.7109375" style="78" customWidth="1"/>
    <col min="11778" max="11778" width="72.7109375" style="78" customWidth="1"/>
    <col min="11779" max="11779" width="0" style="78" hidden="1" customWidth="1"/>
    <col min="11780" max="11781" width="12.7109375" style="78" customWidth="1"/>
    <col min="11782" max="11782" width="0" style="78" hidden="1" customWidth="1"/>
    <col min="11783" max="11786" width="12.7109375" style="78" customWidth="1"/>
    <col min="11787" max="12032" width="11.42578125" style="78"/>
    <col min="12033" max="12033" width="9.7109375" style="78" customWidth="1"/>
    <col min="12034" max="12034" width="72.7109375" style="78" customWidth="1"/>
    <col min="12035" max="12035" width="0" style="78" hidden="1" customWidth="1"/>
    <col min="12036" max="12037" width="12.7109375" style="78" customWidth="1"/>
    <col min="12038" max="12038" width="0" style="78" hidden="1" customWidth="1"/>
    <col min="12039" max="12042" width="12.7109375" style="78" customWidth="1"/>
    <col min="12043" max="12288" width="11.42578125" style="78"/>
    <col min="12289" max="12289" width="9.7109375" style="78" customWidth="1"/>
    <col min="12290" max="12290" width="72.7109375" style="78" customWidth="1"/>
    <col min="12291" max="12291" width="0" style="78" hidden="1" customWidth="1"/>
    <col min="12292" max="12293" width="12.7109375" style="78" customWidth="1"/>
    <col min="12294" max="12294" width="0" style="78" hidden="1" customWidth="1"/>
    <col min="12295" max="12298" width="12.7109375" style="78" customWidth="1"/>
    <col min="12299" max="12544" width="11.42578125" style="78"/>
    <col min="12545" max="12545" width="9.7109375" style="78" customWidth="1"/>
    <col min="12546" max="12546" width="72.7109375" style="78" customWidth="1"/>
    <col min="12547" max="12547" width="0" style="78" hidden="1" customWidth="1"/>
    <col min="12548" max="12549" width="12.7109375" style="78" customWidth="1"/>
    <col min="12550" max="12550" width="0" style="78" hidden="1" customWidth="1"/>
    <col min="12551" max="12554" width="12.7109375" style="78" customWidth="1"/>
    <col min="12555" max="12800" width="11.42578125" style="78"/>
    <col min="12801" max="12801" width="9.7109375" style="78" customWidth="1"/>
    <col min="12802" max="12802" width="72.7109375" style="78" customWidth="1"/>
    <col min="12803" max="12803" width="0" style="78" hidden="1" customWidth="1"/>
    <col min="12804" max="12805" width="12.7109375" style="78" customWidth="1"/>
    <col min="12806" max="12806" width="0" style="78" hidden="1" customWidth="1"/>
    <col min="12807" max="12810" width="12.7109375" style="78" customWidth="1"/>
    <col min="12811" max="13056" width="11.42578125" style="78"/>
    <col min="13057" max="13057" width="9.7109375" style="78" customWidth="1"/>
    <col min="13058" max="13058" width="72.7109375" style="78" customWidth="1"/>
    <col min="13059" max="13059" width="0" style="78" hidden="1" customWidth="1"/>
    <col min="13060" max="13061" width="12.7109375" style="78" customWidth="1"/>
    <col min="13062" max="13062" width="0" style="78" hidden="1" customWidth="1"/>
    <col min="13063" max="13066" width="12.7109375" style="78" customWidth="1"/>
    <col min="13067" max="13312" width="11.42578125" style="78"/>
    <col min="13313" max="13313" width="9.7109375" style="78" customWidth="1"/>
    <col min="13314" max="13314" width="72.7109375" style="78" customWidth="1"/>
    <col min="13315" max="13315" width="0" style="78" hidden="1" customWidth="1"/>
    <col min="13316" max="13317" width="12.7109375" style="78" customWidth="1"/>
    <col min="13318" max="13318" width="0" style="78" hidden="1" customWidth="1"/>
    <col min="13319" max="13322" width="12.7109375" style="78" customWidth="1"/>
    <col min="13323" max="13568" width="11.42578125" style="78"/>
    <col min="13569" max="13569" width="9.7109375" style="78" customWidth="1"/>
    <col min="13570" max="13570" width="72.7109375" style="78" customWidth="1"/>
    <col min="13571" max="13571" width="0" style="78" hidden="1" customWidth="1"/>
    <col min="13572" max="13573" width="12.7109375" style="78" customWidth="1"/>
    <col min="13574" max="13574" width="0" style="78" hidden="1" customWidth="1"/>
    <col min="13575" max="13578" width="12.7109375" style="78" customWidth="1"/>
    <col min="13579" max="13824" width="11.42578125" style="78"/>
    <col min="13825" max="13825" width="9.7109375" style="78" customWidth="1"/>
    <col min="13826" max="13826" width="72.7109375" style="78" customWidth="1"/>
    <col min="13827" max="13827" width="0" style="78" hidden="1" customWidth="1"/>
    <col min="13828" max="13829" width="12.7109375" style="78" customWidth="1"/>
    <col min="13830" max="13830" width="0" style="78" hidden="1" customWidth="1"/>
    <col min="13831" max="13834" width="12.7109375" style="78" customWidth="1"/>
    <col min="13835" max="14080" width="11.42578125" style="78"/>
    <col min="14081" max="14081" width="9.7109375" style="78" customWidth="1"/>
    <col min="14082" max="14082" width="72.7109375" style="78" customWidth="1"/>
    <col min="14083" max="14083" width="0" style="78" hidden="1" customWidth="1"/>
    <col min="14084" max="14085" width="12.7109375" style="78" customWidth="1"/>
    <col min="14086" max="14086" width="0" style="78" hidden="1" customWidth="1"/>
    <col min="14087" max="14090" width="12.7109375" style="78" customWidth="1"/>
    <col min="14091" max="14336" width="11.42578125" style="78"/>
    <col min="14337" max="14337" width="9.7109375" style="78" customWidth="1"/>
    <col min="14338" max="14338" width="72.7109375" style="78" customWidth="1"/>
    <col min="14339" max="14339" width="0" style="78" hidden="1" customWidth="1"/>
    <col min="14340" max="14341" width="12.7109375" style="78" customWidth="1"/>
    <col min="14342" max="14342" width="0" style="78" hidden="1" customWidth="1"/>
    <col min="14343" max="14346" width="12.7109375" style="78" customWidth="1"/>
    <col min="14347" max="14592" width="11.42578125" style="78"/>
    <col min="14593" max="14593" width="9.7109375" style="78" customWidth="1"/>
    <col min="14594" max="14594" width="72.7109375" style="78" customWidth="1"/>
    <col min="14595" max="14595" width="0" style="78" hidden="1" customWidth="1"/>
    <col min="14596" max="14597" width="12.7109375" style="78" customWidth="1"/>
    <col min="14598" max="14598" width="0" style="78" hidden="1" customWidth="1"/>
    <col min="14599" max="14602" width="12.7109375" style="78" customWidth="1"/>
    <col min="14603" max="14848" width="11.42578125" style="78"/>
    <col min="14849" max="14849" width="9.7109375" style="78" customWidth="1"/>
    <col min="14850" max="14850" width="72.7109375" style="78" customWidth="1"/>
    <col min="14851" max="14851" width="0" style="78" hidden="1" customWidth="1"/>
    <col min="14852" max="14853" width="12.7109375" style="78" customWidth="1"/>
    <col min="14854" max="14854" width="0" style="78" hidden="1" customWidth="1"/>
    <col min="14855" max="14858" width="12.7109375" style="78" customWidth="1"/>
    <col min="14859" max="15104" width="11.42578125" style="78"/>
    <col min="15105" max="15105" width="9.7109375" style="78" customWidth="1"/>
    <col min="15106" max="15106" width="72.7109375" style="78" customWidth="1"/>
    <col min="15107" max="15107" width="0" style="78" hidden="1" customWidth="1"/>
    <col min="15108" max="15109" width="12.7109375" style="78" customWidth="1"/>
    <col min="15110" max="15110" width="0" style="78" hidden="1" customWidth="1"/>
    <col min="15111" max="15114" width="12.7109375" style="78" customWidth="1"/>
    <col min="15115" max="15360" width="11.42578125" style="78"/>
    <col min="15361" max="15361" width="9.7109375" style="78" customWidth="1"/>
    <col min="15362" max="15362" width="72.7109375" style="78" customWidth="1"/>
    <col min="15363" max="15363" width="0" style="78" hidden="1" customWidth="1"/>
    <col min="15364" max="15365" width="12.7109375" style="78" customWidth="1"/>
    <col min="15366" max="15366" width="0" style="78" hidden="1" customWidth="1"/>
    <col min="15367" max="15370" width="12.7109375" style="78" customWidth="1"/>
    <col min="15371" max="15616" width="11.42578125" style="78"/>
    <col min="15617" max="15617" width="9.7109375" style="78" customWidth="1"/>
    <col min="15618" max="15618" width="72.7109375" style="78" customWidth="1"/>
    <col min="15619" max="15619" width="0" style="78" hidden="1" customWidth="1"/>
    <col min="15620" max="15621" width="12.7109375" style="78" customWidth="1"/>
    <col min="15622" max="15622" width="0" style="78" hidden="1" customWidth="1"/>
    <col min="15623" max="15626" width="12.7109375" style="78" customWidth="1"/>
    <col min="15627" max="15872" width="11.42578125" style="78"/>
    <col min="15873" max="15873" width="9.7109375" style="78" customWidth="1"/>
    <col min="15874" max="15874" width="72.7109375" style="78" customWidth="1"/>
    <col min="15875" max="15875" width="0" style="78" hidden="1" customWidth="1"/>
    <col min="15876" max="15877" width="12.7109375" style="78" customWidth="1"/>
    <col min="15878" max="15878" width="0" style="78" hidden="1" customWidth="1"/>
    <col min="15879" max="15882" width="12.7109375" style="78" customWidth="1"/>
    <col min="15883" max="16128" width="11.42578125" style="78"/>
    <col min="16129" max="16129" width="9.7109375" style="78" customWidth="1"/>
    <col min="16130" max="16130" width="72.7109375" style="78" customWidth="1"/>
    <col min="16131" max="16131" width="0" style="78" hidden="1" customWidth="1"/>
    <col min="16132" max="16133" width="12.7109375" style="78" customWidth="1"/>
    <col min="16134" max="16134" width="0" style="78" hidden="1" customWidth="1"/>
    <col min="16135" max="16138" width="12.7109375" style="78" customWidth="1"/>
    <col min="16139" max="16384" width="11.42578125" style="78"/>
  </cols>
  <sheetData>
    <row r="1" spans="1:10" ht="20.25">
      <c r="A1" s="185"/>
      <c r="B1" s="186" t="s">
        <v>825</v>
      </c>
    </row>
    <row r="2" spans="1:10">
      <c r="B2" s="187" t="s">
        <v>132</v>
      </c>
    </row>
    <row r="3" spans="1:10" ht="3.95" customHeight="1" thickBot="1"/>
    <row r="4" spans="1:10" ht="27.95" customHeight="1">
      <c r="B4" s="775" t="s">
        <v>195</v>
      </c>
      <c r="C4" s="795">
        <v>2018</v>
      </c>
      <c r="D4" s="795"/>
      <c r="E4" s="795"/>
      <c r="F4" s="795">
        <v>2019</v>
      </c>
      <c r="G4" s="795"/>
      <c r="H4" s="795"/>
      <c r="I4" s="796" t="s">
        <v>693</v>
      </c>
      <c r="J4" s="798" t="s">
        <v>824</v>
      </c>
    </row>
    <row r="5" spans="1:10" ht="27.95" customHeight="1">
      <c r="B5" s="776"/>
      <c r="C5" s="188" t="s">
        <v>134</v>
      </c>
      <c r="D5" s="81" t="s">
        <v>129</v>
      </c>
      <c r="E5" s="81" t="s">
        <v>130</v>
      </c>
      <c r="F5" s="188" t="s">
        <v>134</v>
      </c>
      <c r="G5" s="81" t="s">
        <v>129</v>
      </c>
      <c r="H5" s="81" t="s">
        <v>130</v>
      </c>
      <c r="I5" s="797"/>
      <c r="J5" s="799"/>
    </row>
    <row r="6" spans="1:10" ht="18" customHeight="1">
      <c r="B6" s="189" t="s">
        <v>196</v>
      </c>
      <c r="C6" s="190"/>
      <c r="D6" s="191">
        <v>58.3</v>
      </c>
      <c r="E6" s="191">
        <v>27.66</v>
      </c>
      <c r="F6" s="191">
        <v>58.3</v>
      </c>
      <c r="G6" s="191">
        <v>59.8</v>
      </c>
      <c r="H6" s="191">
        <v>27.5</v>
      </c>
      <c r="I6" s="224">
        <f>E6/D6*100</f>
        <v>47.444253859348201</v>
      </c>
      <c r="J6" s="225">
        <f>H6/G6*100</f>
        <v>45.986622073578602</v>
      </c>
    </row>
    <row r="7" spans="1:10" ht="18" customHeight="1">
      <c r="B7" s="189" t="s">
        <v>197</v>
      </c>
      <c r="C7" s="192"/>
      <c r="D7" s="193">
        <v>267.64</v>
      </c>
      <c r="E7" s="193">
        <v>106.37</v>
      </c>
      <c r="F7" s="193">
        <v>285.60000000000002</v>
      </c>
      <c r="G7" s="193">
        <v>285.60000000000002</v>
      </c>
      <c r="H7" s="193">
        <v>108.5</v>
      </c>
      <c r="I7" s="226">
        <f t="shared" ref="I7:I51" si="0">E7/D7*100</f>
        <v>39.743685547750715</v>
      </c>
      <c r="J7" s="227">
        <f t="shared" ref="J7:J51" si="1">H7/G7*100</f>
        <v>37.990196078431367</v>
      </c>
    </row>
    <row r="8" spans="1:10" ht="18" customHeight="1">
      <c r="B8" s="189" t="s">
        <v>198</v>
      </c>
      <c r="C8" s="192">
        <f t="shared" ref="C8:H8" si="2">SUM(C9:C23)</f>
        <v>0</v>
      </c>
      <c r="D8" s="193">
        <f t="shared" si="2"/>
        <v>3008.7</v>
      </c>
      <c r="E8" s="193">
        <f t="shared" si="2"/>
        <v>1420.9300000000003</v>
      </c>
      <c r="F8" s="192">
        <f t="shared" si="2"/>
        <v>3183</v>
      </c>
      <c r="G8" s="193">
        <f t="shared" si="2"/>
        <v>3265.9</v>
      </c>
      <c r="H8" s="193">
        <f t="shared" si="2"/>
        <v>1519.8</v>
      </c>
      <c r="I8" s="226">
        <f t="shared" si="0"/>
        <v>47.227373948881592</v>
      </c>
      <c r="J8" s="227">
        <f t="shared" si="1"/>
        <v>46.535411372056707</v>
      </c>
    </row>
    <row r="9" spans="1:10" ht="18" customHeight="1">
      <c r="B9" s="189" t="s">
        <v>161</v>
      </c>
      <c r="C9" s="194"/>
      <c r="D9" s="195">
        <v>127.39</v>
      </c>
      <c r="E9" s="196">
        <v>52.13</v>
      </c>
      <c r="F9" s="194">
        <v>104.9</v>
      </c>
      <c r="G9" s="195">
        <v>104.9</v>
      </c>
      <c r="H9" s="196">
        <v>43.5</v>
      </c>
      <c r="I9" s="228">
        <f t="shared" si="0"/>
        <v>40.92157940183688</v>
      </c>
      <c r="J9" s="229">
        <f t="shared" si="1"/>
        <v>41.468064823641562</v>
      </c>
    </row>
    <row r="10" spans="1:10" ht="18" customHeight="1">
      <c r="B10" s="82" t="s">
        <v>162</v>
      </c>
      <c r="C10" s="197"/>
      <c r="D10" s="198">
        <v>102.31</v>
      </c>
      <c r="E10" s="135">
        <v>45.41</v>
      </c>
      <c r="F10" s="198">
        <v>103.9</v>
      </c>
      <c r="G10" s="198">
        <v>110.1</v>
      </c>
      <c r="H10" s="135">
        <v>46.1</v>
      </c>
      <c r="I10" s="230">
        <f t="shared" si="0"/>
        <v>44.384713126771572</v>
      </c>
      <c r="J10" s="231">
        <f t="shared" si="1"/>
        <v>41.871026339691191</v>
      </c>
    </row>
    <row r="11" spans="1:10" ht="18" customHeight="1">
      <c r="B11" s="82" t="s">
        <v>163</v>
      </c>
      <c r="C11" s="197"/>
      <c r="D11" s="198">
        <v>43.18</v>
      </c>
      <c r="E11" s="135">
        <v>23.69</v>
      </c>
      <c r="F11" s="198">
        <v>45</v>
      </c>
      <c r="G11" s="198">
        <v>46</v>
      </c>
      <c r="H11" s="135">
        <v>25.9</v>
      </c>
      <c r="I11" s="230">
        <f t="shared" si="0"/>
        <v>54.863362667901804</v>
      </c>
      <c r="J11" s="231">
        <f t="shared" si="1"/>
        <v>56.304347826086953</v>
      </c>
    </row>
    <row r="12" spans="1:10" ht="18" customHeight="1">
      <c r="B12" s="82" t="s">
        <v>164</v>
      </c>
      <c r="C12" s="197"/>
      <c r="D12" s="198">
        <v>168.22</v>
      </c>
      <c r="E12" s="135">
        <v>76.59</v>
      </c>
      <c r="F12" s="198">
        <v>145.19999999999999</v>
      </c>
      <c r="G12" s="198">
        <v>161</v>
      </c>
      <c r="H12" s="135">
        <v>90.2</v>
      </c>
      <c r="I12" s="230">
        <f t="shared" si="0"/>
        <v>45.529663535845913</v>
      </c>
      <c r="J12" s="231">
        <f t="shared" si="1"/>
        <v>56.024844720496894</v>
      </c>
    </row>
    <row r="13" spans="1:10" ht="18" customHeight="1">
      <c r="B13" s="82" t="s">
        <v>165</v>
      </c>
      <c r="C13" s="197"/>
      <c r="D13" s="198">
        <v>38.44</v>
      </c>
      <c r="E13" s="135">
        <v>12.86</v>
      </c>
      <c r="F13" s="198">
        <v>57.4</v>
      </c>
      <c r="G13" s="198">
        <v>57.4</v>
      </c>
      <c r="H13" s="135">
        <v>32.700000000000003</v>
      </c>
      <c r="I13" s="230">
        <f t="shared" si="0"/>
        <v>33.454734651404792</v>
      </c>
      <c r="J13" s="231">
        <f t="shared" si="1"/>
        <v>56.968641114982589</v>
      </c>
    </row>
    <row r="14" spans="1:10" ht="18" customHeight="1">
      <c r="B14" s="82" t="s">
        <v>166</v>
      </c>
      <c r="C14" s="197"/>
      <c r="D14" s="198">
        <v>461.7</v>
      </c>
      <c r="E14" s="135">
        <v>191.74</v>
      </c>
      <c r="F14" s="198">
        <v>426.7</v>
      </c>
      <c r="G14" s="198">
        <v>468.7</v>
      </c>
      <c r="H14" s="135">
        <v>214.8</v>
      </c>
      <c r="I14" s="230">
        <f t="shared" si="0"/>
        <v>41.52913147065194</v>
      </c>
      <c r="J14" s="231">
        <f t="shared" si="1"/>
        <v>45.828888414764243</v>
      </c>
    </row>
    <row r="15" spans="1:10" ht="18" customHeight="1">
      <c r="B15" s="82" t="s">
        <v>826</v>
      </c>
      <c r="C15" s="197"/>
      <c r="D15" s="198">
        <v>947.24</v>
      </c>
      <c r="E15" s="135">
        <v>513.03</v>
      </c>
      <c r="F15" s="198">
        <v>997.2</v>
      </c>
      <c r="G15" s="198">
        <v>1000.7</v>
      </c>
      <c r="H15" s="135">
        <v>521.5</v>
      </c>
      <c r="I15" s="230">
        <f t="shared" si="0"/>
        <v>54.160508424475317</v>
      </c>
      <c r="J15" s="231">
        <f t="shared" si="1"/>
        <v>52.113520535625057</v>
      </c>
    </row>
    <row r="16" spans="1:10" ht="18" customHeight="1">
      <c r="B16" s="82" t="s">
        <v>168</v>
      </c>
      <c r="C16" s="197"/>
      <c r="D16" s="198">
        <v>619.39</v>
      </c>
      <c r="E16" s="135">
        <v>276.49</v>
      </c>
      <c r="F16" s="198">
        <v>668.1</v>
      </c>
      <c r="G16" s="198">
        <v>668.7</v>
      </c>
      <c r="H16" s="135">
        <v>289.7</v>
      </c>
      <c r="I16" s="230">
        <f t="shared" si="0"/>
        <v>44.639080385540616</v>
      </c>
      <c r="J16" s="231">
        <f t="shared" si="1"/>
        <v>43.322865260954089</v>
      </c>
    </row>
    <row r="17" spans="2:10" ht="18" customHeight="1">
      <c r="B17" s="82" t="s">
        <v>169</v>
      </c>
      <c r="C17" s="197"/>
      <c r="D17" s="198">
        <v>14.99</v>
      </c>
      <c r="E17" s="135">
        <v>6.81</v>
      </c>
      <c r="F17" s="198">
        <v>16.399999999999999</v>
      </c>
      <c r="G17" s="198">
        <v>16.399999999999999</v>
      </c>
      <c r="H17" s="135">
        <v>7.4</v>
      </c>
      <c r="I17" s="230">
        <f t="shared" si="0"/>
        <v>45.430286857905266</v>
      </c>
      <c r="J17" s="231">
        <f t="shared" si="1"/>
        <v>45.121951219512205</v>
      </c>
    </row>
    <row r="18" spans="2:10" ht="18" customHeight="1">
      <c r="B18" s="82" t="s">
        <v>730</v>
      </c>
      <c r="C18" s="197"/>
      <c r="D18" s="198"/>
      <c r="E18" s="135"/>
      <c r="F18" s="198">
        <v>21.6</v>
      </c>
      <c r="G18" s="198">
        <v>21.6</v>
      </c>
      <c r="H18" s="135">
        <v>9.1999999999999993</v>
      </c>
      <c r="I18" s="721" t="e">
        <f t="shared" si="0"/>
        <v>#DIV/0!</v>
      </c>
      <c r="J18" s="231">
        <f t="shared" si="1"/>
        <v>42.592592592592588</v>
      </c>
    </row>
    <row r="19" spans="2:10" ht="18" customHeight="1">
      <c r="B19" s="82" t="s">
        <v>170</v>
      </c>
      <c r="C19" s="197"/>
      <c r="D19" s="198">
        <v>88.12</v>
      </c>
      <c r="E19" s="135">
        <v>56.14</v>
      </c>
      <c r="F19" s="198">
        <v>124</v>
      </c>
      <c r="G19" s="198">
        <v>132.6</v>
      </c>
      <c r="H19" s="135">
        <v>69.599999999999994</v>
      </c>
      <c r="I19" s="230">
        <f t="shared" si="0"/>
        <v>63.708579210167947</v>
      </c>
      <c r="J19" s="231">
        <f t="shared" si="1"/>
        <v>52.488687782805435</v>
      </c>
    </row>
    <row r="20" spans="2:10" ht="18" customHeight="1">
      <c r="B20" s="82" t="s">
        <v>171</v>
      </c>
      <c r="C20" s="197"/>
      <c r="D20" s="198">
        <v>77.55</v>
      </c>
      <c r="E20" s="135">
        <v>45.15</v>
      </c>
      <c r="F20" s="198">
        <v>66.599999999999994</v>
      </c>
      <c r="G20" s="198">
        <v>71.8</v>
      </c>
      <c r="H20" s="135">
        <v>36.6</v>
      </c>
      <c r="I20" s="230">
        <f t="shared" si="0"/>
        <v>58.220502901353967</v>
      </c>
      <c r="J20" s="231">
        <f t="shared" si="1"/>
        <v>50.974930362117</v>
      </c>
    </row>
    <row r="21" spans="2:10" ht="31.5" customHeight="1">
      <c r="B21" s="199" t="s">
        <v>172</v>
      </c>
      <c r="C21" s="197"/>
      <c r="D21" s="198">
        <v>279.14999999999998</v>
      </c>
      <c r="E21" s="145">
        <v>110.52</v>
      </c>
      <c r="F21" s="198">
        <v>357.2</v>
      </c>
      <c r="G21" s="198">
        <v>357.2</v>
      </c>
      <c r="H21" s="145">
        <v>117.3</v>
      </c>
      <c r="I21" s="230">
        <f t="shared" si="0"/>
        <v>39.591617409994626</v>
      </c>
      <c r="J21" s="231">
        <f t="shared" si="1"/>
        <v>32.838745800671894</v>
      </c>
    </row>
    <row r="22" spans="2:10" ht="18" customHeight="1">
      <c r="B22" s="82" t="s">
        <v>173</v>
      </c>
      <c r="C22" s="197"/>
      <c r="D22" s="198">
        <v>13.36</v>
      </c>
      <c r="E22" s="145">
        <v>5.14</v>
      </c>
      <c r="F22" s="198">
        <v>19</v>
      </c>
      <c r="G22" s="198">
        <v>19</v>
      </c>
      <c r="H22" s="145">
        <v>5.5</v>
      </c>
      <c r="I22" s="230">
        <f t="shared" si="0"/>
        <v>38.473053892215567</v>
      </c>
      <c r="J22" s="231">
        <f t="shared" si="1"/>
        <v>28.947368421052634</v>
      </c>
    </row>
    <row r="23" spans="2:10" ht="18" customHeight="1">
      <c r="B23" s="82" t="s">
        <v>174</v>
      </c>
      <c r="C23" s="197"/>
      <c r="D23" s="198">
        <v>27.66</v>
      </c>
      <c r="E23" s="135">
        <v>5.23</v>
      </c>
      <c r="F23" s="198">
        <v>29.8</v>
      </c>
      <c r="G23" s="198">
        <v>29.8</v>
      </c>
      <c r="H23" s="135">
        <v>9.8000000000000007</v>
      </c>
      <c r="I23" s="230">
        <f t="shared" si="0"/>
        <v>18.908170643528564</v>
      </c>
      <c r="J23" s="231">
        <f t="shared" si="1"/>
        <v>32.885906040268459</v>
      </c>
    </row>
    <row r="24" spans="2:10" ht="18" customHeight="1">
      <c r="B24" s="189" t="s">
        <v>199</v>
      </c>
      <c r="C24" s="192">
        <f t="shared" ref="C24:H24" si="3">C25+C27+C26</f>
        <v>0</v>
      </c>
      <c r="D24" s="193">
        <f t="shared" ref="D24:E24" si="4">D25+D27+D26</f>
        <v>119.02000000000001</v>
      </c>
      <c r="E24" s="193">
        <f t="shared" si="4"/>
        <v>41.94</v>
      </c>
      <c r="F24" s="193">
        <f t="shared" si="3"/>
        <v>118.30000000000001</v>
      </c>
      <c r="G24" s="193">
        <f t="shared" si="3"/>
        <v>131.19999999999999</v>
      </c>
      <c r="H24" s="193">
        <f t="shared" si="3"/>
        <v>44.5</v>
      </c>
      <c r="I24" s="226">
        <f t="shared" si="0"/>
        <v>35.237775163838002</v>
      </c>
      <c r="J24" s="227">
        <f t="shared" si="1"/>
        <v>33.917682926829272</v>
      </c>
    </row>
    <row r="25" spans="2:10" ht="18" customHeight="1">
      <c r="B25" s="82" t="s">
        <v>176</v>
      </c>
      <c r="C25" s="197"/>
      <c r="D25" s="198">
        <v>80.650000000000006</v>
      </c>
      <c r="E25" s="135">
        <v>23.65</v>
      </c>
      <c r="F25" s="198">
        <v>78.400000000000006</v>
      </c>
      <c r="G25" s="198">
        <v>91.3</v>
      </c>
      <c r="H25" s="135">
        <v>25.5</v>
      </c>
      <c r="I25" s="230">
        <f t="shared" si="0"/>
        <v>29.32424054556726</v>
      </c>
      <c r="J25" s="231">
        <f t="shared" si="1"/>
        <v>27.929901423877329</v>
      </c>
    </row>
    <row r="26" spans="2:10" ht="18" customHeight="1">
      <c r="B26" s="82" t="s">
        <v>177</v>
      </c>
      <c r="C26" s="197"/>
      <c r="D26" s="198">
        <v>28.89</v>
      </c>
      <c r="E26" s="145">
        <v>13.98</v>
      </c>
      <c r="F26" s="198">
        <v>29.7</v>
      </c>
      <c r="G26" s="198">
        <v>29.7</v>
      </c>
      <c r="H26" s="145">
        <v>14.5</v>
      </c>
      <c r="I26" s="230">
        <f t="shared" si="0"/>
        <v>48.390446521287643</v>
      </c>
      <c r="J26" s="231">
        <f t="shared" si="1"/>
        <v>48.821548821548824</v>
      </c>
    </row>
    <row r="27" spans="2:10" ht="18" customHeight="1">
      <c r="B27" s="82" t="s">
        <v>200</v>
      </c>
      <c r="C27" s="197"/>
      <c r="D27" s="198">
        <v>9.48</v>
      </c>
      <c r="E27" s="135">
        <v>4.3099999999999996</v>
      </c>
      <c r="F27" s="198">
        <v>10.199999999999999</v>
      </c>
      <c r="G27" s="198">
        <v>10.199999999999999</v>
      </c>
      <c r="H27" s="135">
        <v>4.5</v>
      </c>
      <c r="I27" s="230">
        <f>E27/D27*100</f>
        <v>45.464135021097043</v>
      </c>
      <c r="J27" s="231">
        <f t="shared" si="1"/>
        <v>44.117647058823536</v>
      </c>
    </row>
    <row r="28" spans="2:10" ht="18" customHeight="1">
      <c r="B28" s="189" t="s">
        <v>179</v>
      </c>
      <c r="C28" s="192">
        <f>C29+C30+C31+C32+C34</f>
        <v>0</v>
      </c>
      <c r="D28" s="193">
        <f>D29+D30+D31+D32+D33+D34</f>
        <v>70.599999999999994</v>
      </c>
      <c r="E28" s="193">
        <f>E29+E30+E31+E32+E33+E34</f>
        <v>30.61</v>
      </c>
      <c r="F28" s="193">
        <f>F29+F30+F31+F32+F33+F34</f>
        <v>73.7</v>
      </c>
      <c r="G28" s="193">
        <f>G29+G30+G31+G32+G33+G34</f>
        <v>74.2</v>
      </c>
      <c r="H28" s="193">
        <f>H29+H30+H31+H32+H33+H34</f>
        <v>30.3</v>
      </c>
      <c r="I28" s="226">
        <f t="shared" si="0"/>
        <v>43.356940509915013</v>
      </c>
      <c r="J28" s="227">
        <f t="shared" si="1"/>
        <v>40.835579514824801</v>
      </c>
    </row>
    <row r="29" spans="2:10" ht="18" customHeight="1">
      <c r="B29" s="82" t="s">
        <v>180</v>
      </c>
      <c r="C29" s="197"/>
      <c r="D29" s="198">
        <v>40.9</v>
      </c>
      <c r="E29" s="135">
        <v>15.96</v>
      </c>
      <c r="F29" s="198">
        <v>43.4</v>
      </c>
      <c r="G29" s="198">
        <v>43.4</v>
      </c>
      <c r="H29" s="135">
        <v>16.600000000000001</v>
      </c>
      <c r="I29" s="230">
        <f t="shared" si="0"/>
        <v>39.022004889975555</v>
      </c>
      <c r="J29" s="231">
        <f t="shared" si="1"/>
        <v>38.248847926267288</v>
      </c>
    </row>
    <row r="30" spans="2:10" ht="18" customHeight="1">
      <c r="B30" s="82" t="s">
        <v>181</v>
      </c>
      <c r="C30" s="197"/>
      <c r="D30" s="198">
        <v>18.23</v>
      </c>
      <c r="E30" s="135">
        <v>9.36</v>
      </c>
      <c r="F30" s="198">
        <v>18.3</v>
      </c>
      <c r="G30" s="198">
        <v>18.8</v>
      </c>
      <c r="H30" s="135">
        <v>8.3000000000000007</v>
      </c>
      <c r="I30" s="230">
        <f t="shared" si="0"/>
        <v>51.343938562808553</v>
      </c>
      <c r="J30" s="231">
        <f t="shared" si="1"/>
        <v>44.148936170212764</v>
      </c>
    </row>
    <row r="31" spans="2:10" ht="18" customHeight="1">
      <c r="B31" s="82" t="s">
        <v>182</v>
      </c>
      <c r="C31" s="197"/>
      <c r="D31" s="198">
        <v>0.8</v>
      </c>
      <c r="E31" s="135">
        <v>0.45</v>
      </c>
      <c r="F31" s="198">
        <v>0.8</v>
      </c>
      <c r="G31" s="198">
        <v>0.8</v>
      </c>
      <c r="H31" s="135">
        <v>0.4</v>
      </c>
      <c r="I31" s="230">
        <f t="shared" si="0"/>
        <v>56.25</v>
      </c>
      <c r="J31" s="231">
        <f t="shared" si="1"/>
        <v>50</v>
      </c>
    </row>
    <row r="32" spans="2:10" ht="18" customHeight="1">
      <c r="B32" s="82" t="s">
        <v>201</v>
      </c>
      <c r="C32" s="197"/>
      <c r="D32" s="198">
        <v>2.76</v>
      </c>
      <c r="E32" s="135">
        <v>1.04</v>
      </c>
      <c r="F32" s="198">
        <v>2.8</v>
      </c>
      <c r="G32" s="198">
        <v>2.8</v>
      </c>
      <c r="H32" s="135">
        <v>1.1000000000000001</v>
      </c>
      <c r="I32" s="230">
        <f t="shared" si="0"/>
        <v>37.681159420289859</v>
      </c>
      <c r="J32" s="231">
        <f t="shared" si="1"/>
        <v>39.285714285714292</v>
      </c>
    </row>
    <row r="33" spans="2:10" ht="18" customHeight="1">
      <c r="B33" s="82" t="s">
        <v>184</v>
      </c>
      <c r="C33" s="197"/>
      <c r="D33" s="198">
        <v>1.4</v>
      </c>
      <c r="E33" s="135">
        <v>0.63</v>
      </c>
      <c r="F33" s="198">
        <v>1.9</v>
      </c>
      <c r="G33" s="198">
        <v>1.9</v>
      </c>
      <c r="H33" s="135">
        <v>0.7</v>
      </c>
      <c r="I33" s="230">
        <f t="shared" si="0"/>
        <v>45</v>
      </c>
      <c r="J33" s="231">
        <f t="shared" si="1"/>
        <v>36.84210526315789</v>
      </c>
    </row>
    <row r="34" spans="2:10" ht="18" customHeight="1">
      <c r="B34" s="82" t="s">
        <v>185</v>
      </c>
      <c r="C34" s="197"/>
      <c r="D34" s="198">
        <v>6.51</v>
      </c>
      <c r="E34" s="135">
        <v>3.17</v>
      </c>
      <c r="F34" s="198">
        <v>6.5</v>
      </c>
      <c r="G34" s="198">
        <v>6.5</v>
      </c>
      <c r="H34" s="135">
        <v>3.2</v>
      </c>
      <c r="I34" s="230">
        <f t="shared" si="0"/>
        <v>48.694316436251924</v>
      </c>
      <c r="J34" s="231">
        <f t="shared" si="1"/>
        <v>49.230769230769234</v>
      </c>
    </row>
    <row r="35" spans="2:10" ht="18" customHeight="1">
      <c r="B35" s="189" t="s">
        <v>202</v>
      </c>
      <c r="C35" s="192">
        <f t="shared" ref="C35:H35" si="5">C28+C24+C8+C7+C6</f>
        <v>0</v>
      </c>
      <c r="D35" s="193">
        <f t="shared" si="5"/>
        <v>3524.2599999999998</v>
      </c>
      <c r="E35" s="193">
        <f t="shared" si="5"/>
        <v>1627.5100000000004</v>
      </c>
      <c r="F35" s="193">
        <f t="shared" si="5"/>
        <v>3718.9</v>
      </c>
      <c r="G35" s="193">
        <f t="shared" si="5"/>
        <v>3816.7000000000003</v>
      </c>
      <c r="H35" s="193">
        <f t="shared" si="5"/>
        <v>1730.6</v>
      </c>
      <c r="I35" s="226">
        <f t="shared" si="0"/>
        <v>46.180191018823827</v>
      </c>
      <c r="J35" s="227">
        <f t="shared" si="1"/>
        <v>45.342835433751667</v>
      </c>
    </row>
    <row r="36" spans="2:10" ht="18" customHeight="1">
      <c r="B36" s="82" t="s">
        <v>203</v>
      </c>
      <c r="C36" s="200"/>
      <c r="D36" s="84">
        <v>1015.26</v>
      </c>
      <c r="E36" s="84">
        <v>502.94</v>
      </c>
      <c r="F36" s="84">
        <v>1822.8</v>
      </c>
      <c r="G36" s="84">
        <v>1822.8</v>
      </c>
      <c r="H36" s="84">
        <v>521.4</v>
      </c>
      <c r="I36" s="83">
        <f t="shared" si="0"/>
        <v>49.538049366664701</v>
      </c>
      <c r="J36" s="86">
        <f t="shared" si="1"/>
        <v>28.604344963791966</v>
      </c>
    </row>
    <row r="37" spans="2:10" ht="18" customHeight="1">
      <c r="B37" s="82" t="s">
        <v>119</v>
      </c>
      <c r="C37" s="200"/>
      <c r="D37" s="84">
        <v>105.37</v>
      </c>
      <c r="E37" s="84">
        <v>38.619999999999997</v>
      </c>
      <c r="F37" s="84">
        <v>116.1</v>
      </c>
      <c r="G37" s="84">
        <v>108.2</v>
      </c>
      <c r="H37" s="84">
        <v>47</v>
      </c>
      <c r="I37" s="83">
        <f t="shared" si="0"/>
        <v>36.651798424599029</v>
      </c>
      <c r="J37" s="86">
        <f t="shared" si="1"/>
        <v>43.438077634011094</v>
      </c>
    </row>
    <row r="38" spans="2:10" ht="18" customHeight="1">
      <c r="B38" s="82" t="s">
        <v>229</v>
      </c>
      <c r="C38" s="200"/>
      <c r="D38" s="84">
        <v>40.39</v>
      </c>
      <c r="E38" s="84"/>
      <c r="F38" s="84">
        <v>124.1</v>
      </c>
      <c r="G38" s="84">
        <v>62.8</v>
      </c>
      <c r="H38" s="84"/>
      <c r="I38" s="83"/>
      <c r="J38" s="86"/>
    </row>
    <row r="39" spans="2:10" ht="18" customHeight="1">
      <c r="B39" s="82" t="s">
        <v>204</v>
      </c>
      <c r="C39" s="200"/>
      <c r="D39" s="84">
        <v>795.63</v>
      </c>
      <c r="E39" s="84">
        <v>402.26</v>
      </c>
      <c r="F39" s="84">
        <v>931.3</v>
      </c>
      <c r="G39" s="84">
        <v>933.3</v>
      </c>
      <c r="H39" s="84">
        <v>463.4</v>
      </c>
      <c r="I39" s="83">
        <f t="shared" si="0"/>
        <v>50.558676771866317</v>
      </c>
      <c r="J39" s="86">
        <f t="shared" si="1"/>
        <v>49.651773277617053</v>
      </c>
    </row>
    <row r="40" spans="2:10" ht="18" hidden="1" customHeight="1">
      <c r="B40" s="82" t="s">
        <v>205</v>
      </c>
      <c r="C40" s="197"/>
      <c r="D40" s="201"/>
      <c r="E40" s="201"/>
      <c r="F40" s="197"/>
      <c r="G40" s="201"/>
      <c r="H40" s="201"/>
      <c r="I40" s="230" t="e">
        <f t="shared" si="0"/>
        <v>#DIV/0!</v>
      </c>
      <c r="J40" s="231" t="e">
        <f t="shared" si="1"/>
        <v>#DIV/0!</v>
      </c>
    </row>
    <row r="41" spans="2:10" ht="18" hidden="1" customHeight="1">
      <c r="B41" s="82" t="s">
        <v>206</v>
      </c>
      <c r="C41" s="197"/>
      <c r="D41" s="201"/>
      <c r="E41" s="201"/>
      <c r="F41" s="197"/>
      <c r="G41" s="201"/>
      <c r="H41" s="201"/>
      <c r="I41" s="230" t="e">
        <f t="shared" si="0"/>
        <v>#DIV/0!</v>
      </c>
      <c r="J41" s="231" t="e">
        <f t="shared" si="1"/>
        <v>#DIV/0!</v>
      </c>
    </row>
    <row r="42" spans="2:10" ht="18" hidden="1" customHeight="1">
      <c r="B42" s="82" t="s">
        <v>207</v>
      </c>
      <c r="C42" s="197"/>
      <c r="D42" s="201"/>
      <c r="E42" s="201"/>
      <c r="F42" s="197"/>
      <c r="G42" s="201"/>
      <c r="H42" s="201"/>
      <c r="I42" s="230" t="e">
        <f t="shared" si="0"/>
        <v>#DIV/0!</v>
      </c>
      <c r="J42" s="231" t="e">
        <f t="shared" si="1"/>
        <v>#DIV/0!</v>
      </c>
    </row>
    <row r="43" spans="2:10" ht="18" hidden="1" customHeight="1">
      <c r="B43" s="82" t="s">
        <v>208</v>
      </c>
      <c r="C43" s="197"/>
      <c r="D43" s="201"/>
      <c r="E43" s="201"/>
      <c r="F43" s="197"/>
      <c r="G43" s="201"/>
      <c r="H43" s="201"/>
      <c r="I43" s="230" t="e">
        <f t="shared" si="0"/>
        <v>#DIV/0!</v>
      </c>
      <c r="J43" s="231" t="e">
        <f t="shared" si="1"/>
        <v>#DIV/0!</v>
      </c>
    </row>
    <row r="44" spans="2:10" ht="18" hidden="1" customHeight="1">
      <c r="B44" s="82" t="s">
        <v>209</v>
      </c>
      <c r="C44" s="197"/>
      <c r="D44" s="201"/>
      <c r="E44" s="201"/>
      <c r="F44" s="197"/>
      <c r="G44" s="201"/>
      <c r="H44" s="201"/>
      <c r="I44" s="230" t="e">
        <f t="shared" si="0"/>
        <v>#DIV/0!</v>
      </c>
      <c r="J44" s="231" t="e">
        <f t="shared" si="1"/>
        <v>#DIV/0!</v>
      </c>
    </row>
    <row r="45" spans="2:10" ht="18" hidden="1" customHeight="1">
      <c r="B45" s="82" t="s">
        <v>210</v>
      </c>
      <c r="C45" s="197"/>
      <c r="D45" s="201"/>
      <c r="E45" s="201"/>
      <c r="F45" s="197"/>
      <c r="G45" s="201"/>
      <c r="H45" s="201"/>
      <c r="I45" s="230" t="e">
        <f t="shared" si="0"/>
        <v>#DIV/0!</v>
      </c>
      <c r="J45" s="231" t="e">
        <f t="shared" si="1"/>
        <v>#DIV/0!</v>
      </c>
    </row>
    <row r="46" spans="2:10" ht="18" hidden="1" customHeight="1">
      <c r="B46" s="82" t="s">
        <v>211</v>
      </c>
      <c r="C46" s="197"/>
      <c r="D46" s="201"/>
      <c r="E46" s="201"/>
      <c r="F46" s="197"/>
      <c r="G46" s="201"/>
      <c r="H46" s="201"/>
      <c r="I46" s="230" t="e">
        <f t="shared" si="0"/>
        <v>#DIV/0!</v>
      </c>
      <c r="J46" s="231" t="e">
        <f t="shared" si="1"/>
        <v>#DIV/0!</v>
      </c>
    </row>
    <row r="47" spans="2:10" ht="18" hidden="1" customHeight="1">
      <c r="B47" s="82" t="s">
        <v>212</v>
      </c>
      <c r="C47" s="197"/>
      <c r="D47" s="201"/>
      <c r="E47" s="201"/>
      <c r="F47" s="197"/>
      <c r="G47" s="201"/>
      <c r="H47" s="201"/>
      <c r="I47" s="230" t="e">
        <f t="shared" si="0"/>
        <v>#DIV/0!</v>
      </c>
      <c r="J47" s="231" t="e">
        <f t="shared" si="1"/>
        <v>#DIV/0!</v>
      </c>
    </row>
    <row r="48" spans="2:10" ht="18" hidden="1" customHeight="1">
      <c r="B48" s="82" t="s">
        <v>213</v>
      </c>
      <c r="C48" s="197"/>
      <c r="D48" s="201"/>
      <c r="E48" s="201"/>
      <c r="F48" s="197"/>
      <c r="G48" s="201"/>
      <c r="H48" s="201"/>
      <c r="I48" s="230" t="e">
        <f t="shared" si="0"/>
        <v>#DIV/0!</v>
      </c>
      <c r="J48" s="231" t="e">
        <f t="shared" si="1"/>
        <v>#DIV/0!</v>
      </c>
    </row>
    <row r="49" spans="2:10" ht="18" hidden="1" customHeight="1">
      <c r="B49" s="82" t="s">
        <v>214</v>
      </c>
      <c r="C49" s="197"/>
      <c r="D49" s="201"/>
      <c r="E49" s="201"/>
      <c r="F49" s="197"/>
      <c r="G49" s="201"/>
      <c r="H49" s="201"/>
      <c r="I49" s="230" t="e">
        <f t="shared" si="0"/>
        <v>#DIV/0!</v>
      </c>
      <c r="J49" s="231" t="e">
        <f t="shared" si="1"/>
        <v>#DIV/0!</v>
      </c>
    </row>
    <row r="50" spans="2:10" ht="18" hidden="1" customHeight="1">
      <c r="B50" s="87" t="s">
        <v>215</v>
      </c>
      <c r="C50" s="202"/>
      <c r="D50" s="203"/>
      <c r="E50" s="203"/>
      <c r="F50" s="202"/>
      <c r="G50" s="203"/>
      <c r="H50" s="203"/>
      <c r="I50" s="232"/>
      <c r="J50" s="233"/>
    </row>
    <row r="51" spans="2:10" ht="21" customHeight="1" thickBot="1">
      <c r="B51" s="204" t="s">
        <v>121</v>
      </c>
      <c r="C51" s="205">
        <f>C39+C37+C36+C35+C50</f>
        <v>0</v>
      </c>
      <c r="D51" s="205">
        <f>D39+D38+D37+D36+D35</f>
        <v>5480.91</v>
      </c>
      <c r="E51" s="205">
        <f>E39+E38+E37+E36+E35</f>
        <v>2571.3300000000004</v>
      </c>
      <c r="F51" s="205">
        <f>F39+F38+F37+F36+F35</f>
        <v>6713.2</v>
      </c>
      <c r="G51" s="205">
        <f>G39+G38+G37+G36+G35</f>
        <v>6743.8</v>
      </c>
      <c r="H51" s="205">
        <f>H39+H38+H37+H36+H35</f>
        <v>2762.3999999999996</v>
      </c>
      <c r="I51" s="206">
        <f t="shared" si="0"/>
        <v>46.914289780346699</v>
      </c>
      <c r="J51" s="207">
        <f t="shared" si="1"/>
        <v>40.962068863252163</v>
      </c>
    </row>
    <row r="52" spans="2:10">
      <c r="B52" s="755" t="s">
        <v>832</v>
      </c>
      <c r="C52" s="117"/>
      <c r="D52" s="117"/>
      <c r="E52" s="117"/>
      <c r="F52" s="117"/>
      <c r="G52" s="117"/>
      <c r="H52" s="117"/>
      <c r="I52" s="117"/>
      <c r="J52" s="117"/>
    </row>
    <row r="53" spans="2:10" ht="23.25">
      <c r="B53" s="94"/>
      <c r="C53" s="117"/>
      <c r="D53" s="117"/>
      <c r="E53" s="117"/>
      <c r="F53" s="117"/>
      <c r="G53" s="117"/>
      <c r="H53" s="117"/>
      <c r="I53" s="117"/>
      <c r="J53" s="117"/>
    </row>
    <row r="54" spans="2:10" ht="22.5" customHeight="1">
      <c r="B54" s="69"/>
      <c r="C54" s="69"/>
      <c r="D54" s="69"/>
      <c r="E54" s="69"/>
      <c r="F54" s="69"/>
      <c r="G54" s="69"/>
      <c r="H54" s="69"/>
      <c r="I54" s="69"/>
      <c r="J54" s="69"/>
    </row>
    <row r="55" spans="2:10" ht="21.75" customHeight="1">
      <c r="B55" s="69"/>
      <c r="C55" s="69"/>
      <c r="J55" s="118"/>
    </row>
    <row r="56" spans="2:10">
      <c r="B56" s="69"/>
      <c r="C56" s="69"/>
      <c r="D56" s="69"/>
      <c r="E56" s="69"/>
      <c r="F56" s="69"/>
      <c r="G56" s="69"/>
      <c r="H56" s="69"/>
      <c r="I56" s="69"/>
      <c r="J56" s="69"/>
    </row>
    <row r="57" spans="2:10">
      <c r="B57" s="69"/>
      <c r="C57" s="69"/>
      <c r="D57" s="69"/>
      <c r="E57" s="69"/>
      <c r="F57" s="69"/>
      <c r="G57" s="69"/>
      <c r="I57" s="208"/>
      <c r="J57" s="69"/>
    </row>
    <row r="58" spans="2:10">
      <c r="B58" s="69"/>
      <c r="C58" s="69"/>
      <c r="D58" s="69"/>
      <c r="E58" s="69"/>
      <c r="F58" s="208"/>
      <c r="G58" s="69"/>
      <c r="I58" s="208"/>
      <c r="J58" s="97"/>
    </row>
    <row r="59" spans="2:10">
      <c r="B59" s="69"/>
      <c r="C59" s="69"/>
      <c r="D59" s="69"/>
      <c r="E59" s="69"/>
      <c r="F59" s="208"/>
      <c r="G59" s="69"/>
      <c r="I59" s="208"/>
      <c r="J59" s="69"/>
    </row>
    <row r="60" spans="2:10">
      <c r="B60" s="69"/>
      <c r="C60" s="69"/>
      <c r="D60" s="69"/>
      <c r="E60" s="69"/>
      <c r="F60" s="208"/>
      <c r="J60" s="118"/>
    </row>
    <row r="61" spans="2:10">
      <c r="F61" s="208"/>
      <c r="J61" s="118"/>
    </row>
    <row r="62" spans="2:10">
      <c r="D62" s="69"/>
      <c r="F62" s="208"/>
      <c r="J62" s="118"/>
    </row>
    <row r="63" spans="2:10">
      <c r="F63" s="208"/>
      <c r="J63" s="118"/>
    </row>
    <row r="64" spans="2:10">
      <c r="J64" s="118"/>
    </row>
    <row r="65" spans="10:10">
      <c r="J65" s="118"/>
    </row>
    <row r="66" spans="10:10">
      <c r="J66" s="118"/>
    </row>
    <row r="67" spans="10:10">
      <c r="J67" s="118"/>
    </row>
    <row r="68" spans="10:10">
      <c r="J68" s="118"/>
    </row>
    <row r="69" spans="10:10">
      <c r="J69" s="118"/>
    </row>
    <row r="70" spans="10:10">
      <c r="J70" s="118"/>
    </row>
  </sheetData>
  <mergeCells count="5">
    <mergeCell ref="B4:B5"/>
    <mergeCell ref="C4:E4"/>
    <mergeCell ref="F4:H4"/>
    <mergeCell ref="I4:I5"/>
    <mergeCell ref="J4:J5"/>
  </mergeCells>
  <printOptions horizontalCentered="1"/>
  <pageMargins left="0.7" right="0.7" top="0.75" bottom="0.75" header="0.3" footer="0.3"/>
  <pageSetup scale="69" orientation="landscape" r:id="rId1"/>
  <ignoredErrors>
    <ignoredError sqref="I18" evalError="1"/>
  </ignoredError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B2:X21"/>
  <sheetViews>
    <sheetView topLeftCell="A2" workbookViewId="0">
      <selection activeCell="U17" sqref="U17:V19"/>
    </sheetView>
  </sheetViews>
  <sheetFormatPr baseColWidth="10" defaultRowHeight="15"/>
  <cols>
    <col min="1" max="1" width="2" customWidth="1"/>
    <col min="2" max="2" width="36.28515625" customWidth="1"/>
    <col min="3" max="13" width="11.42578125" hidden="1" customWidth="1"/>
    <col min="14" max="15" width="0" hidden="1" customWidth="1"/>
    <col min="23" max="23" width="2.7109375" customWidth="1"/>
  </cols>
  <sheetData>
    <row r="2" spans="2:24">
      <c r="B2" s="209" t="s">
        <v>219</v>
      </c>
    </row>
    <row r="3" spans="2:24">
      <c r="B3" s="209" t="s">
        <v>220</v>
      </c>
      <c r="T3" s="9"/>
      <c r="U3" s="9"/>
      <c r="V3" s="9"/>
    </row>
    <row r="5" spans="2:24">
      <c r="B5" s="210" t="s">
        <v>221</v>
      </c>
      <c r="C5" s="211">
        <v>2000</v>
      </c>
      <c r="D5" s="211">
        <v>2001</v>
      </c>
      <c r="E5" s="211">
        <v>2002</v>
      </c>
      <c r="F5" s="211">
        <v>2003</v>
      </c>
      <c r="G5" s="211">
        <v>2004</v>
      </c>
      <c r="H5" s="211">
        <v>2005</v>
      </c>
      <c r="I5" s="211">
        <v>2006</v>
      </c>
      <c r="J5" s="211">
        <v>2007</v>
      </c>
      <c r="K5" s="211">
        <v>2008</v>
      </c>
      <c r="L5" s="211">
        <v>2009</v>
      </c>
      <c r="M5" s="211">
        <v>2010</v>
      </c>
      <c r="N5" s="211">
        <v>2011</v>
      </c>
      <c r="O5" s="211">
        <v>2012</v>
      </c>
      <c r="P5" s="211">
        <v>2013</v>
      </c>
      <c r="Q5" s="211">
        <v>2014</v>
      </c>
      <c r="R5" s="211">
        <v>2015</v>
      </c>
      <c r="S5" s="211">
        <v>2016</v>
      </c>
      <c r="T5" s="211">
        <v>2017</v>
      </c>
      <c r="U5" s="211">
        <v>2018</v>
      </c>
      <c r="V5" s="211" t="s">
        <v>773</v>
      </c>
      <c r="X5" s="9"/>
    </row>
    <row r="6" spans="2:24">
      <c r="B6" s="42" t="s">
        <v>222</v>
      </c>
      <c r="C6" s="18">
        <v>22.3</v>
      </c>
      <c r="D6" s="18">
        <v>23.7</v>
      </c>
      <c r="E6" s="18">
        <v>19.899999999999999</v>
      </c>
      <c r="F6" s="18">
        <v>31</v>
      </c>
      <c r="G6" s="18">
        <v>46.2</v>
      </c>
      <c r="H6" s="18">
        <v>55.6</v>
      </c>
      <c r="I6" s="18">
        <v>94.5</v>
      </c>
      <c r="J6" s="18">
        <v>104.3</v>
      </c>
      <c r="K6" s="18">
        <v>136.76107406</v>
      </c>
      <c r="L6" s="18">
        <v>83.4</v>
      </c>
      <c r="M6" s="18">
        <v>135.57208913099998</v>
      </c>
      <c r="N6" s="18">
        <v>163.5</v>
      </c>
      <c r="O6" s="18">
        <v>135.6</v>
      </c>
      <c r="P6" s="18">
        <v>134.21303627999998</v>
      </c>
      <c r="Q6" s="18">
        <v>101.02995662000001</v>
      </c>
      <c r="R6" s="18">
        <v>60.587545198000008</v>
      </c>
      <c r="S6" s="18">
        <v>48.924756670000008</v>
      </c>
      <c r="T6" s="18">
        <v>57.055708370000005</v>
      </c>
      <c r="U6" s="20">
        <v>69.075715850000009</v>
      </c>
      <c r="V6" s="20">
        <v>37.69620518</v>
      </c>
      <c r="X6" s="9"/>
    </row>
    <row r="7" spans="2:24">
      <c r="B7" s="42" t="s">
        <v>80</v>
      </c>
      <c r="C7" s="18">
        <v>0</v>
      </c>
      <c r="D7" s="18">
        <v>0</v>
      </c>
      <c r="E7" s="18">
        <v>0</v>
      </c>
      <c r="F7" s="18">
        <v>0</v>
      </c>
      <c r="G7" s="18">
        <v>0</v>
      </c>
      <c r="H7" s="18">
        <v>8.9</v>
      </c>
      <c r="I7" s="18">
        <v>22.1</v>
      </c>
      <c r="J7" s="18">
        <v>4.0999999999999996</v>
      </c>
      <c r="K7" s="18">
        <v>44.803879999999999</v>
      </c>
      <c r="L7" s="18">
        <v>78.8</v>
      </c>
      <c r="M7" s="18">
        <v>48.016536600000002</v>
      </c>
      <c r="N7" s="18">
        <v>56.5</v>
      </c>
      <c r="O7" s="18">
        <v>64.400000000000006</v>
      </c>
      <c r="P7" s="18">
        <v>55.824141440000005</v>
      </c>
      <c r="Q7" s="18">
        <v>40.332130000000006</v>
      </c>
      <c r="R7" s="18">
        <v>36.729340000000001</v>
      </c>
      <c r="S7" s="18">
        <v>42.779087140000009</v>
      </c>
      <c r="T7" s="18">
        <v>42.538205880000007</v>
      </c>
      <c r="U7" s="20">
        <v>46.594707319999998</v>
      </c>
      <c r="V7" s="20">
        <v>24.068724439999997</v>
      </c>
      <c r="X7" s="9"/>
    </row>
    <row r="8" spans="2:24">
      <c r="B8" s="25" t="s">
        <v>223</v>
      </c>
      <c r="C8" s="16">
        <f>+C9+C10</f>
        <v>7.9</v>
      </c>
      <c r="D8" s="16">
        <f t="shared" ref="D8:U8" si="0">+D9+D10</f>
        <v>11.4</v>
      </c>
      <c r="E8" s="16">
        <f t="shared" si="0"/>
        <v>1.5</v>
      </c>
      <c r="F8" s="16">
        <f t="shared" si="0"/>
        <v>6</v>
      </c>
      <c r="G8" s="16">
        <f t="shared" si="0"/>
        <v>40.6</v>
      </c>
      <c r="H8" s="16">
        <f t="shared" si="0"/>
        <v>32.200000000000003</v>
      </c>
      <c r="I8" s="16">
        <f t="shared" si="0"/>
        <v>77.2</v>
      </c>
      <c r="J8" s="16">
        <f t="shared" si="0"/>
        <v>62.1</v>
      </c>
      <c r="K8" s="16">
        <f t="shared" si="0"/>
        <v>210.91363937999998</v>
      </c>
      <c r="L8" s="16">
        <f t="shared" si="0"/>
        <v>118.2</v>
      </c>
      <c r="M8" s="16">
        <f t="shared" si="0"/>
        <v>111.08139041999998</v>
      </c>
      <c r="N8" s="16">
        <f t="shared" si="0"/>
        <v>115.19999999999999</v>
      </c>
      <c r="O8" s="16">
        <f t="shared" si="0"/>
        <v>200.6</v>
      </c>
      <c r="P8" s="16">
        <f t="shared" si="0"/>
        <v>166.39773742</v>
      </c>
      <c r="Q8" s="16">
        <f t="shared" si="0"/>
        <v>174.11625421000002</v>
      </c>
      <c r="R8" s="16">
        <f t="shared" si="0"/>
        <v>141.77583514</v>
      </c>
      <c r="S8" s="16">
        <f t="shared" ref="S8:T8" si="1">+S9+S10</f>
        <v>64.391000000000005</v>
      </c>
      <c r="T8" s="16">
        <f t="shared" si="1"/>
        <v>91.6</v>
      </c>
      <c r="U8" s="16">
        <f t="shared" si="0"/>
        <v>44.024617409999998</v>
      </c>
      <c r="V8" s="16">
        <f t="shared" ref="V8" si="2">+V9+V10</f>
        <v>31.675106</v>
      </c>
      <c r="X8" s="9"/>
    </row>
    <row r="9" spans="2:24">
      <c r="B9" s="35" t="s">
        <v>224</v>
      </c>
      <c r="C9" s="18">
        <v>0</v>
      </c>
      <c r="D9" s="18">
        <v>0</v>
      </c>
      <c r="E9" s="18">
        <v>0</v>
      </c>
      <c r="F9" s="18">
        <v>6</v>
      </c>
      <c r="G9" s="18">
        <v>40.6</v>
      </c>
      <c r="H9" s="18">
        <v>32.200000000000003</v>
      </c>
      <c r="I9" s="18">
        <v>43.2</v>
      </c>
      <c r="J9" s="18">
        <v>34</v>
      </c>
      <c r="K9" s="18">
        <v>55.418840810000006</v>
      </c>
      <c r="L9" s="18">
        <v>86.5</v>
      </c>
      <c r="M9" s="18">
        <v>90.481531809999979</v>
      </c>
      <c r="N9" s="18">
        <v>88.1</v>
      </c>
      <c r="O9" s="18">
        <v>42.9</v>
      </c>
      <c r="P9" s="18"/>
      <c r="Q9" s="18"/>
      <c r="R9" s="18"/>
      <c r="S9" s="18"/>
      <c r="T9" s="18">
        <v>45.6</v>
      </c>
      <c r="U9" s="20">
        <v>44.024617409999998</v>
      </c>
      <c r="V9" s="20">
        <v>31.675106</v>
      </c>
      <c r="X9" s="9"/>
    </row>
    <row r="10" spans="2:24" ht="28.5">
      <c r="B10" s="212" t="s">
        <v>225</v>
      </c>
      <c r="C10" s="30">
        <v>7.9</v>
      </c>
      <c r="D10" s="30">
        <v>11.4</v>
      </c>
      <c r="E10" s="30">
        <v>1.5</v>
      </c>
      <c r="F10" s="30">
        <v>0</v>
      </c>
      <c r="G10" s="30">
        <v>0</v>
      </c>
      <c r="H10" s="30">
        <v>0</v>
      </c>
      <c r="I10" s="30">
        <v>34</v>
      </c>
      <c r="J10" s="30">
        <v>28.1</v>
      </c>
      <c r="K10" s="30">
        <v>155.49479856999997</v>
      </c>
      <c r="L10" s="30">
        <v>31.7</v>
      </c>
      <c r="M10" s="30">
        <v>20.599858610000002</v>
      </c>
      <c r="N10" s="30">
        <v>27.1</v>
      </c>
      <c r="O10" s="30">
        <v>157.69999999999999</v>
      </c>
      <c r="P10" s="30">
        <v>166.39773742</v>
      </c>
      <c r="Q10" s="30">
        <v>174.11625421000002</v>
      </c>
      <c r="R10" s="30">
        <v>141.77583514</v>
      </c>
      <c r="S10" s="30">
        <v>64.391000000000005</v>
      </c>
      <c r="T10" s="30">
        <v>46</v>
      </c>
      <c r="U10" s="217"/>
      <c r="V10" s="217"/>
    </row>
    <row r="11" spans="2:24">
      <c r="B11" s="213" t="s">
        <v>131</v>
      </c>
      <c r="C11" s="214">
        <f>+C6+C7+C8</f>
        <v>30.200000000000003</v>
      </c>
      <c r="D11" s="214">
        <f t="shared" ref="D11:U11" si="3">+D6+D7+D8</f>
        <v>35.1</v>
      </c>
      <c r="E11" s="214">
        <f t="shared" si="3"/>
        <v>21.4</v>
      </c>
      <c r="F11" s="214">
        <f t="shared" si="3"/>
        <v>37</v>
      </c>
      <c r="G11" s="214">
        <f t="shared" si="3"/>
        <v>86.800000000000011</v>
      </c>
      <c r="H11" s="214">
        <f t="shared" si="3"/>
        <v>96.7</v>
      </c>
      <c r="I11" s="214">
        <f t="shared" si="3"/>
        <v>193.8</v>
      </c>
      <c r="J11" s="214">
        <f t="shared" si="3"/>
        <v>170.5</v>
      </c>
      <c r="K11" s="214">
        <f t="shared" si="3"/>
        <v>392.47859343999994</v>
      </c>
      <c r="L11" s="214">
        <f t="shared" si="3"/>
        <v>280.39999999999998</v>
      </c>
      <c r="M11" s="214">
        <f t="shared" si="3"/>
        <v>294.67001615099997</v>
      </c>
      <c r="N11" s="214">
        <f t="shared" si="3"/>
        <v>335.2</v>
      </c>
      <c r="O11" s="214">
        <f t="shared" si="3"/>
        <v>400.6</v>
      </c>
      <c r="P11" s="214">
        <f t="shared" si="3"/>
        <v>356.43491513999999</v>
      </c>
      <c r="Q11" s="214">
        <f t="shared" si="3"/>
        <v>315.47834083000004</v>
      </c>
      <c r="R11" s="214">
        <f t="shared" si="3"/>
        <v>239.09272033799999</v>
      </c>
      <c r="S11" s="214">
        <f t="shared" ref="S11:T11" si="4">+S6+S7+S8</f>
        <v>156.09484381000004</v>
      </c>
      <c r="T11" s="214">
        <f t="shared" si="4"/>
        <v>191.19391425000001</v>
      </c>
      <c r="U11" s="214">
        <f t="shared" si="3"/>
        <v>159.69504058000001</v>
      </c>
      <c r="V11" s="214">
        <f t="shared" ref="V11" si="5">+V6+V7+V8</f>
        <v>93.440035620000003</v>
      </c>
    </row>
    <row r="12" spans="2:24">
      <c r="B12" t="s">
        <v>226</v>
      </c>
    </row>
    <row r="16" spans="2:24">
      <c r="B16" s="210" t="s">
        <v>92</v>
      </c>
      <c r="C16" s="211">
        <v>2000</v>
      </c>
      <c r="D16" s="211">
        <v>2001</v>
      </c>
      <c r="E16" s="211">
        <v>2002</v>
      </c>
      <c r="F16" s="211">
        <v>2003</v>
      </c>
      <c r="G16" s="211">
        <v>2004</v>
      </c>
      <c r="H16" s="211">
        <v>2005</v>
      </c>
      <c r="I16" s="211">
        <v>2006</v>
      </c>
      <c r="J16" s="211">
        <v>2007</v>
      </c>
      <c r="K16" s="211">
        <v>2008</v>
      </c>
      <c r="L16" s="211">
        <v>2009</v>
      </c>
      <c r="M16" s="211">
        <v>2010</v>
      </c>
      <c r="N16" s="211">
        <v>2011</v>
      </c>
      <c r="O16" s="211">
        <v>2012</v>
      </c>
      <c r="P16" s="211">
        <v>2013</v>
      </c>
      <c r="Q16" s="211">
        <v>2014</v>
      </c>
      <c r="R16" s="211">
        <v>2015</v>
      </c>
      <c r="S16" s="211">
        <v>2016</v>
      </c>
      <c r="T16" s="211">
        <v>2017</v>
      </c>
      <c r="U16" s="211">
        <v>2018</v>
      </c>
      <c r="V16" s="211" t="s">
        <v>773</v>
      </c>
    </row>
    <row r="17" spans="2:24">
      <c r="B17" s="42" t="s">
        <v>227</v>
      </c>
      <c r="C17" s="18">
        <v>85.6</v>
      </c>
      <c r="D17" s="215">
        <v>57.287828229999995</v>
      </c>
      <c r="E17" s="215">
        <v>67.016707760000003</v>
      </c>
      <c r="F17" s="215">
        <v>48.905850000000001</v>
      </c>
      <c r="G17" s="215">
        <v>74.27600000000001</v>
      </c>
      <c r="H17" s="215">
        <v>66.394798350000002</v>
      </c>
      <c r="I17" s="215">
        <v>54.830726850000012</v>
      </c>
      <c r="J17" s="215">
        <v>121.41707704</v>
      </c>
      <c r="K17" s="215">
        <v>154.49173587000001</v>
      </c>
      <c r="L17" s="215">
        <v>171.98636925999998</v>
      </c>
      <c r="M17" s="215">
        <v>133.75923195000001</v>
      </c>
      <c r="N17" s="215">
        <v>227.4</v>
      </c>
      <c r="O17" s="215">
        <v>183.9</v>
      </c>
      <c r="P17" s="215">
        <v>170.96640854</v>
      </c>
      <c r="Q17" s="215">
        <v>189.60811404999998</v>
      </c>
      <c r="R17" s="215">
        <v>170.68341884</v>
      </c>
      <c r="S17" s="215">
        <v>40.844426510000005</v>
      </c>
      <c r="T17" s="215">
        <v>43.504726089999998</v>
      </c>
      <c r="U17" s="218">
        <v>74.076546800000003</v>
      </c>
      <c r="V17" s="218">
        <v>50.568422320000003</v>
      </c>
      <c r="X17" s="9"/>
    </row>
    <row r="18" spans="2:24">
      <c r="B18" s="42" t="s">
        <v>228</v>
      </c>
      <c r="C18" s="18">
        <v>13.48</v>
      </c>
      <c r="D18" s="18">
        <v>13.987314369999998</v>
      </c>
      <c r="E18" s="18">
        <v>17.5</v>
      </c>
      <c r="F18" s="18">
        <v>15.2</v>
      </c>
      <c r="G18" s="18">
        <v>16.8</v>
      </c>
      <c r="H18" s="18">
        <v>19</v>
      </c>
      <c r="I18" s="18">
        <v>10.1</v>
      </c>
      <c r="J18" s="18">
        <v>23.2</v>
      </c>
      <c r="K18" s="18">
        <v>23.4</v>
      </c>
      <c r="L18" s="18">
        <v>23.9</v>
      </c>
      <c r="M18" s="18">
        <v>27.80828352</v>
      </c>
      <c r="N18" s="18">
        <v>15.6</v>
      </c>
      <c r="O18" s="18">
        <v>0.2</v>
      </c>
      <c r="P18" s="18">
        <v>1.3320496300000002</v>
      </c>
      <c r="Q18" s="18">
        <v>5.7623000000000006E-4</v>
      </c>
      <c r="R18" s="18"/>
      <c r="S18" s="18"/>
      <c r="T18" s="18"/>
      <c r="U18" s="20"/>
      <c r="V18" s="20"/>
      <c r="X18" s="9"/>
    </row>
    <row r="19" spans="2:24">
      <c r="B19" s="216" t="s">
        <v>93</v>
      </c>
      <c r="C19" s="30">
        <v>22.391999999999999</v>
      </c>
      <c r="D19" s="30">
        <v>23.948396859999999</v>
      </c>
      <c r="E19" s="30">
        <v>22.907488879999999</v>
      </c>
      <c r="F19" s="30">
        <v>27.142199999999999</v>
      </c>
      <c r="G19" s="30">
        <v>30.963000000000001</v>
      </c>
      <c r="H19" s="30">
        <v>31.301831029999999</v>
      </c>
      <c r="I19" s="30">
        <v>31.148870690000003</v>
      </c>
      <c r="J19" s="30">
        <v>34.999221259999999</v>
      </c>
      <c r="K19" s="30">
        <v>49.283824459999998</v>
      </c>
      <c r="L19" s="30">
        <v>54.467542080000008</v>
      </c>
      <c r="M19" s="30">
        <v>55.002170600000007</v>
      </c>
      <c r="N19" s="30">
        <v>66</v>
      </c>
      <c r="O19" s="30">
        <v>67.599999999999994</v>
      </c>
      <c r="P19" s="30">
        <v>26.868942950000001</v>
      </c>
      <c r="Q19" s="30">
        <v>27.987579760000003</v>
      </c>
      <c r="R19" s="30">
        <v>29.83883213</v>
      </c>
      <c r="S19" s="30">
        <v>30.863899409999998</v>
      </c>
      <c r="T19" s="30">
        <v>39.57973999</v>
      </c>
      <c r="U19" s="217">
        <v>40.37380297</v>
      </c>
      <c r="V19" s="217">
        <v>27.415685490000001</v>
      </c>
      <c r="X19" s="9"/>
    </row>
    <row r="20" spans="2:24">
      <c r="B20" s="213" t="s">
        <v>131</v>
      </c>
      <c r="C20" s="214">
        <f>+C17+C18+C19</f>
        <v>121.47199999999999</v>
      </c>
      <c r="D20" s="214">
        <f t="shared" ref="D20:U20" si="6">+D17+D18+D19</f>
        <v>95.223539459999998</v>
      </c>
      <c r="E20" s="214">
        <f t="shared" si="6"/>
        <v>107.42419664000001</v>
      </c>
      <c r="F20" s="214">
        <f t="shared" si="6"/>
        <v>91.248050000000006</v>
      </c>
      <c r="G20" s="214">
        <f t="shared" si="6"/>
        <v>122.03900000000002</v>
      </c>
      <c r="H20" s="214">
        <f t="shared" si="6"/>
        <v>116.69662938</v>
      </c>
      <c r="I20" s="214">
        <f t="shared" si="6"/>
        <v>96.079597540000009</v>
      </c>
      <c r="J20" s="214">
        <f t="shared" si="6"/>
        <v>179.61629829999998</v>
      </c>
      <c r="K20" s="214">
        <f t="shared" si="6"/>
        <v>227.17556033000002</v>
      </c>
      <c r="L20" s="214">
        <f t="shared" si="6"/>
        <v>250.35391134</v>
      </c>
      <c r="M20" s="214">
        <f t="shared" si="6"/>
        <v>216.56968607000002</v>
      </c>
      <c r="N20" s="214">
        <f t="shared" si="6"/>
        <v>309</v>
      </c>
      <c r="O20" s="214">
        <f t="shared" si="6"/>
        <v>251.7</v>
      </c>
      <c r="P20" s="214">
        <f t="shared" si="6"/>
        <v>199.16740111999999</v>
      </c>
      <c r="Q20" s="214">
        <f t="shared" si="6"/>
        <v>217.59627003999998</v>
      </c>
      <c r="R20" s="214">
        <f t="shared" si="6"/>
        <v>200.52225097000002</v>
      </c>
      <c r="S20" s="214">
        <f t="shared" ref="S20:T20" si="7">+S17+S18+S19</f>
        <v>71.708325920000007</v>
      </c>
      <c r="T20" s="214">
        <f t="shared" si="7"/>
        <v>83.084466079999999</v>
      </c>
      <c r="U20" s="214">
        <f t="shared" si="6"/>
        <v>114.45034977</v>
      </c>
      <c r="V20" s="214">
        <f t="shared" ref="V20" si="8">+V17+V18+V19</f>
        <v>77.984107810000012</v>
      </c>
      <c r="X20" s="9"/>
    </row>
    <row r="21" spans="2:24">
      <c r="B21" t="s">
        <v>226</v>
      </c>
    </row>
  </sheetData>
  <printOptions horizontalCentered="1"/>
  <pageMargins left="0.7" right="0.7" top="0.75" bottom="0.75" header="0.3" footer="0.3"/>
  <pageSetup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2823"/>
    <pageSetUpPr fitToPage="1"/>
  </sheetPr>
  <dimension ref="B2:M24"/>
  <sheetViews>
    <sheetView topLeftCell="A4" workbookViewId="0">
      <selection activeCell="O17" sqref="O17"/>
    </sheetView>
  </sheetViews>
  <sheetFormatPr baseColWidth="10" defaultRowHeight="15"/>
  <cols>
    <col min="1" max="1" width="6.7109375" customWidth="1"/>
    <col min="2" max="2" width="55.7109375" customWidth="1"/>
    <col min="3" max="7" width="9.7109375" hidden="1" customWidth="1"/>
    <col min="8" max="13" width="9.7109375" customWidth="1"/>
  </cols>
  <sheetData>
    <row r="2" spans="2:13">
      <c r="B2" s="209" t="s">
        <v>787</v>
      </c>
    </row>
    <row r="3" spans="2:13">
      <c r="B3" t="s">
        <v>681</v>
      </c>
      <c r="M3" s="9"/>
    </row>
    <row r="5" spans="2:13" ht="21" customHeight="1">
      <c r="B5" s="666" t="s">
        <v>682</v>
      </c>
      <c r="C5" s="667"/>
      <c r="D5" s="667"/>
      <c r="E5" s="667"/>
      <c r="F5" s="667"/>
      <c r="G5" s="667"/>
      <c r="H5" s="667"/>
      <c r="I5" s="667"/>
      <c r="J5" s="667"/>
      <c r="K5" s="667"/>
      <c r="L5" s="667"/>
      <c r="M5" s="667"/>
    </row>
    <row r="6" spans="2:13" ht="21" customHeight="1">
      <c r="B6" s="211" t="s">
        <v>683</v>
      </c>
      <c r="C6" s="211">
        <v>2009</v>
      </c>
      <c r="D6" s="211">
        <v>2010</v>
      </c>
      <c r="E6" s="211">
        <v>2011</v>
      </c>
      <c r="F6" s="211">
        <v>2012</v>
      </c>
      <c r="G6" s="211">
        <v>2013</v>
      </c>
      <c r="H6" s="211">
        <v>2014</v>
      </c>
      <c r="I6" s="211">
        <v>2015</v>
      </c>
      <c r="J6" s="211">
        <v>2016</v>
      </c>
      <c r="K6" s="211">
        <v>2017</v>
      </c>
      <c r="L6" s="211">
        <v>2018</v>
      </c>
      <c r="M6" s="211" t="s">
        <v>773</v>
      </c>
    </row>
    <row r="7" spans="2:13">
      <c r="B7" s="663" t="s">
        <v>685</v>
      </c>
      <c r="C7" s="668">
        <v>128.99</v>
      </c>
      <c r="D7" s="668">
        <v>165.3</v>
      </c>
      <c r="E7" s="668">
        <v>191.9</v>
      </c>
      <c r="F7" s="668">
        <v>180.53</v>
      </c>
      <c r="G7" s="668">
        <v>182.92</v>
      </c>
      <c r="H7" s="668">
        <v>178.05</v>
      </c>
      <c r="I7" s="668">
        <v>155.31</v>
      </c>
      <c r="J7" s="668">
        <v>36.96</v>
      </c>
      <c r="K7" s="668">
        <v>46.64</v>
      </c>
      <c r="L7" s="668">
        <v>65.12</v>
      </c>
      <c r="M7" s="668">
        <v>45.64</v>
      </c>
    </row>
    <row r="8" spans="2:13">
      <c r="B8" s="664" t="s">
        <v>686</v>
      </c>
      <c r="C8" s="669">
        <v>20.38</v>
      </c>
      <c r="D8" s="669">
        <v>29.1</v>
      </c>
      <c r="E8" s="669">
        <v>8.8000000000000007</v>
      </c>
      <c r="F8" s="669">
        <v>1.4E-2</v>
      </c>
      <c r="G8" s="669">
        <v>0</v>
      </c>
      <c r="H8" s="669">
        <v>0</v>
      </c>
      <c r="I8" s="669">
        <v>0</v>
      </c>
      <c r="J8" s="669">
        <v>0</v>
      </c>
      <c r="K8" s="669">
        <v>0</v>
      </c>
      <c r="L8" s="669">
        <v>0</v>
      </c>
      <c r="M8" s="669">
        <v>0</v>
      </c>
    </row>
    <row r="9" spans="2:13">
      <c r="B9" s="664" t="s">
        <v>688</v>
      </c>
      <c r="C9" s="669">
        <v>17.079999999999998</v>
      </c>
      <c r="D9" s="669">
        <v>27.2</v>
      </c>
      <c r="E9" s="669">
        <v>43.3</v>
      </c>
      <c r="F9" s="669">
        <v>0</v>
      </c>
      <c r="G9" s="669">
        <v>0</v>
      </c>
      <c r="H9" s="669">
        <v>0</v>
      </c>
      <c r="I9" s="669">
        <v>0</v>
      </c>
      <c r="J9" s="669">
        <v>0</v>
      </c>
      <c r="K9" s="669">
        <v>0</v>
      </c>
      <c r="L9" s="669">
        <v>0</v>
      </c>
      <c r="M9" s="669">
        <v>0</v>
      </c>
    </row>
    <row r="10" spans="2:13">
      <c r="B10" s="664" t="s">
        <v>689</v>
      </c>
      <c r="C10" s="669">
        <v>0</v>
      </c>
      <c r="D10" s="669">
        <v>0</v>
      </c>
      <c r="E10" s="669">
        <v>45.9</v>
      </c>
      <c r="F10" s="669">
        <v>25.31</v>
      </c>
      <c r="G10" s="669">
        <v>0</v>
      </c>
      <c r="H10" s="669">
        <v>0</v>
      </c>
      <c r="I10" s="669">
        <v>0</v>
      </c>
      <c r="J10" s="669">
        <v>0</v>
      </c>
      <c r="K10" s="669">
        <v>0</v>
      </c>
      <c r="L10" s="669">
        <v>0</v>
      </c>
      <c r="M10" s="669">
        <v>0</v>
      </c>
    </row>
    <row r="11" spans="2:13">
      <c r="B11" s="664" t="s">
        <v>687</v>
      </c>
      <c r="C11" s="669">
        <v>0</v>
      </c>
      <c r="D11" s="669">
        <v>0</v>
      </c>
      <c r="E11" s="669">
        <v>0</v>
      </c>
      <c r="F11" s="669">
        <v>33.53</v>
      </c>
      <c r="G11" s="669">
        <v>0</v>
      </c>
      <c r="H11" s="669">
        <v>0</v>
      </c>
      <c r="I11" s="669">
        <v>0</v>
      </c>
      <c r="J11" s="669">
        <v>0</v>
      </c>
      <c r="K11" s="669">
        <v>0</v>
      </c>
      <c r="L11" s="669">
        <v>0</v>
      </c>
      <c r="M11" s="669">
        <v>0</v>
      </c>
    </row>
    <row r="12" spans="2:13">
      <c r="B12" s="665" t="s">
        <v>231</v>
      </c>
      <c r="C12" s="670">
        <v>3.6</v>
      </c>
      <c r="D12" s="670">
        <v>1.78</v>
      </c>
      <c r="E12" s="670">
        <v>1.8</v>
      </c>
      <c r="F12" s="670">
        <v>0.28299999999999997</v>
      </c>
      <c r="G12" s="670">
        <v>2.2400000000000002</v>
      </c>
      <c r="H12" s="670">
        <v>0.72</v>
      </c>
      <c r="I12" s="670">
        <v>3.51</v>
      </c>
      <c r="J12" s="670">
        <v>0.22</v>
      </c>
      <c r="K12" s="670">
        <v>0.9</v>
      </c>
      <c r="L12" s="670">
        <v>16.239999999999998</v>
      </c>
      <c r="M12" s="670">
        <v>3.21</v>
      </c>
    </row>
    <row r="13" spans="2:13">
      <c r="B13" s="672" t="s">
        <v>131</v>
      </c>
      <c r="C13" s="671">
        <f>SUM(C7:C12)</f>
        <v>170.04999999999998</v>
      </c>
      <c r="D13" s="671">
        <f t="shared" ref="D13:M13" si="0">SUM(D7:D12)</f>
        <v>223.38</v>
      </c>
      <c r="E13" s="671">
        <f t="shared" si="0"/>
        <v>291.7</v>
      </c>
      <c r="F13" s="671">
        <f t="shared" si="0"/>
        <v>239.667</v>
      </c>
      <c r="G13" s="671">
        <f t="shared" si="0"/>
        <v>185.16</v>
      </c>
      <c r="H13" s="671">
        <f t="shared" si="0"/>
        <v>178.77</v>
      </c>
      <c r="I13" s="671">
        <f t="shared" si="0"/>
        <v>158.82</v>
      </c>
      <c r="J13" s="671">
        <f t="shared" si="0"/>
        <v>37.18</v>
      </c>
      <c r="K13" s="671">
        <f t="shared" si="0"/>
        <v>47.54</v>
      </c>
      <c r="L13" s="671">
        <f t="shared" si="0"/>
        <v>81.36</v>
      </c>
      <c r="M13" s="671">
        <f t="shared" si="0"/>
        <v>48.85</v>
      </c>
    </row>
    <row r="14" spans="2:13">
      <c r="B14" s="673"/>
      <c r="C14" s="674"/>
      <c r="D14" s="674"/>
      <c r="E14" s="674"/>
      <c r="F14" s="674"/>
      <c r="G14" s="674"/>
      <c r="H14" s="674"/>
      <c r="I14" s="674"/>
      <c r="J14" s="674"/>
      <c r="K14" s="674"/>
      <c r="L14" s="674"/>
      <c r="M14" s="675"/>
    </row>
    <row r="15" spans="2:13" ht="21" customHeight="1">
      <c r="B15" s="666" t="s">
        <v>684</v>
      </c>
      <c r="C15" s="667"/>
      <c r="D15" s="667"/>
      <c r="E15" s="667"/>
      <c r="F15" s="667"/>
      <c r="G15" s="667"/>
      <c r="H15" s="667"/>
      <c r="I15" s="667"/>
      <c r="J15" s="667"/>
      <c r="K15" s="667"/>
      <c r="L15" s="667"/>
      <c r="M15" s="667"/>
    </row>
    <row r="16" spans="2:13">
      <c r="B16" s="663" t="s">
        <v>685</v>
      </c>
      <c r="C16" s="668">
        <v>131.5</v>
      </c>
      <c r="D16" s="668">
        <v>110.7</v>
      </c>
      <c r="E16" s="668">
        <v>207.1</v>
      </c>
      <c r="F16" s="668">
        <v>175.81</v>
      </c>
      <c r="G16" s="668">
        <v>167.42</v>
      </c>
      <c r="H16" s="668">
        <v>183.77</v>
      </c>
      <c r="I16" s="668">
        <v>165.22</v>
      </c>
      <c r="J16" s="668">
        <v>36.18</v>
      </c>
      <c r="K16" s="668">
        <v>39.880000000000003</v>
      </c>
      <c r="L16" s="668">
        <v>67.09</v>
      </c>
      <c r="M16" s="692">
        <v>36.619999999999997</v>
      </c>
    </row>
    <row r="17" spans="2:13">
      <c r="B17" s="664" t="s">
        <v>686</v>
      </c>
      <c r="C17" s="669">
        <v>20.5</v>
      </c>
      <c r="D17" s="669">
        <v>25.4</v>
      </c>
      <c r="E17" s="669">
        <v>13.3</v>
      </c>
      <c r="F17" s="669">
        <v>1.4999999999999999E-2</v>
      </c>
      <c r="G17" s="669">
        <v>0</v>
      </c>
      <c r="H17" s="669">
        <v>0</v>
      </c>
      <c r="I17" s="669">
        <v>0</v>
      </c>
      <c r="J17" s="669">
        <v>0</v>
      </c>
      <c r="K17" s="669">
        <v>0</v>
      </c>
      <c r="L17" s="669">
        <v>0</v>
      </c>
      <c r="M17" s="693">
        <v>0</v>
      </c>
    </row>
    <row r="18" spans="2:13">
      <c r="B18" s="664" t="s">
        <v>688</v>
      </c>
      <c r="C18" s="669">
        <v>17.100000000000001</v>
      </c>
      <c r="D18" s="669">
        <v>27.5</v>
      </c>
      <c r="E18" s="669">
        <v>38</v>
      </c>
      <c r="F18" s="669">
        <v>3.24</v>
      </c>
      <c r="G18" s="669">
        <v>0</v>
      </c>
      <c r="H18" s="669">
        <v>0</v>
      </c>
      <c r="I18" s="669">
        <v>0</v>
      </c>
      <c r="J18" s="669">
        <v>0</v>
      </c>
      <c r="K18" s="669">
        <v>0</v>
      </c>
      <c r="L18" s="669">
        <v>0</v>
      </c>
      <c r="M18" s="693">
        <v>0</v>
      </c>
    </row>
    <row r="19" spans="2:13">
      <c r="B19" s="664" t="s">
        <v>689</v>
      </c>
      <c r="C19" s="669">
        <v>0</v>
      </c>
      <c r="D19" s="669">
        <v>0</v>
      </c>
      <c r="E19" s="669">
        <v>28.4</v>
      </c>
      <c r="F19" s="669">
        <v>42.92</v>
      </c>
      <c r="G19" s="669">
        <v>0</v>
      </c>
      <c r="H19" s="669">
        <v>0</v>
      </c>
      <c r="I19" s="669">
        <v>0</v>
      </c>
      <c r="J19" s="669">
        <v>0</v>
      </c>
      <c r="K19" s="669">
        <v>0</v>
      </c>
      <c r="L19" s="669">
        <v>0</v>
      </c>
      <c r="M19" s="693">
        <v>0</v>
      </c>
    </row>
    <row r="20" spans="2:13">
      <c r="B20" s="664" t="s">
        <v>687</v>
      </c>
      <c r="C20" s="669">
        <v>0</v>
      </c>
      <c r="D20" s="669">
        <v>0</v>
      </c>
      <c r="E20" s="669">
        <v>0</v>
      </c>
      <c r="F20" s="669">
        <v>11.58</v>
      </c>
      <c r="G20" s="669">
        <v>17.59</v>
      </c>
      <c r="H20" s="669">
        <v>0</v>
      </c>
      <c r="I20" s="669">
        <v>0</v>
      </c>
      <c r="J20" s="669">
        <v>0</v>
      </c>
      <c r="K20" s="669">
        <v>0</v>
      </c>
      <c r="L20" s="669">
        <v>0</v>
      </c>
      <c r="M20" s="693">
        <v>0</v>
      </c>
    </row>
    <row r="21" spans="2:13">
      <c r="B21" s="665" t="s">
        <v>231</v>
      </c>
      <c r="C21" s="670">
        <v>0</v>
      </c>
      <c r="D21" s="670">
        <v>0</v>
      </c>
      <c r="E21" s="670">
        <v>0</v>
      </c>
      <c r="F21" s="670">
        <v>0</v>
      </c>
      <c r="G21" s="670">
        <v>0.19</v>
      </c>
      <c r="H21" s="670">
        <v>2.67</v>
      </c>
      <c r="I21" s="670">
        <v>3.41</v>
      </c>
      <c r="J21" s="670">
        <v>0.3</v>
      </c>
      <c r="K21" s="670">
        <v>0.7</v>
      </c>
      <c r="L21" s="670">
        <v>8.39</v>
      </c>
      <c r="M21" s="694">
        <v>10.92</v>
      </c>
    </row>
    <row r="22" spans="2:13">
      <c r="B22" s="672" t="s">
        <v>131</v>
      </c>
      <c r="C22" s="671">
        <f>SUM(C16:C21)</f>
        <v>169.1</v>
      </c>
      <c r="D22" s="671">
        <f t="shared" ref="D22:M22" si="1">SUM(D16:D21)</f>
        <v>163.6</v>
      </c>
      <c r="E22" s="671">
        <f t="shared" si="1"/>
        <v>286.79999999999995</v>
      </c>
      <c r="F22" s="671">
        <f t="shared" si="1"/>
        <v>233.56500000000003</v>
      </c>
      <c r="G22" s="671">
        <f t="shared" si="1"/>
        <v>185.2</v>
      </c>
      <c r="H22" s="671">
        <f t="shared" si="1"/>
        <v>186.44</v>
      </c>
      <c r="I22" s="671">
        <f t="shared" si="1"/>
        <v>168.63</v>
      </c>
      <c r="J22" s="671">
        <f t="shared" si="1"/>
        <v>36.479999999999997</v>
      </c>
      <c r="K22" s="671">
        <f t="shared" ref="K22:L22" si="2">SUM(K16:K21)</f>
        <v>40.580000000000005</v>
      </c>
      <c r="L22" s="671">
        <f t="shared" si="2"/>
        <v>75.48</v>
      </c>
      <c r="M22" s="671">
        <f t="shared" si="1"/>
        <v>47.54</v>
      </c>
    </row>
    <row r="23" spans="2:13" ht="6" customHeight="1"/>
    <row r="24" spans="2:13">
      <c r="B24" s="676" t="s">
        <v>52</v>
      </c>
    </row>
  </sheetData>
  <printOptions horizontalCentered="1"/>
  <pageMargins left="0.7" right="0.7" top="0.75" bottom="0.75" header="0.3" footer="0.3"/>
  <pageSetup orientation="landscape" r:id="rId1"/>
  <ignoredErrors>
    <ignoredError sqref="C13:I13 J13:M13" formulaRange="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3:B5"/>
  <sheetViews>
    <sheetView workbookViewId="0"/>
  </sheetViews>
  <sheetFormatPr baseColWidth="10" defaultRowHeight="15"/>
  <cols>
    <col min="2" max="2" width="65.7109375" customWidth="1"/>
  </cols>
  <sheetData>
    <row r="3" spans="2:2" ht="33.75">
      <c r="B3" s="1" t="s">
        <v>216</v>
      </c>
    </row>
    <row r="4" spans="2:2" ht="33.75">
      <c r="B4" s="1" t="s">
        <v>217</v>
      </c>
    </row>
    <row r="5" spans="2:2" ht="33.75">
      <c r="B5" s="1" t="s">
        <v>218</v>
      </c>
    </row>
  </sheetData>
  <printOptions horizontalCentered="1"/>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V32"/>
  <sheetViews>
    <sheetView workbookViewId="0">
      <pane xSplit="2" ySplit="4" topLeftCell="M5" activePane="bottomRight" state="frozen"/>
      <selection pane="topRight" activeCell="C1" sqref="C1"/>
      <selection pane="bottomLeft" activeCell="A5" sqref="A5"/>
      <selection pane="bottomRight" activeCell="B19" sqref="B19"/>
    </sheetView>
  </sheetViews>
  <sheetFormatPr baseColWidth="10" defaultRowHeight="15"/>
  <cols>
    <col min="2" max="2" width="20" customWidth="1"/>
  </cols>
  <sheetData>
    <row r="1" spans="1:22">
      <c r="A1" s="69"/>
      <c r="B1" s="69"/>
      <c r="C1" s="69"/>
      <c r="D1" s="69"/>
      <c r="E1" s="69"/>
      <c r="F1" s="69"/>
      <c r="G1" s="69"/>
      <c r="H1" s="69"/>
      <c r="I1" s="69"/>
      <c r="J1" s="69"/>
      <c r="K1" s="69"/>
      <c r="L1" s="69"/>
      <c r="M1" s="447" t="s">
        <v>726</v>
      </c>
      <c r="N1" s="448"/>
      <c r="O1" s="69"/>
      <c r="P1" s="69"/>
      <c r="Q1" s="69"/>
      <c r="R1" s="69"/>
      <c r="S1" s="69"/>
      <c r="T1" s="69"/>
    </row>
    <row r="2" spans="1:22">
      <c r="A2" s="69"/>
      <c r="B2" s="449" t="s">
        <v>788</v>
      </c>
      <c r="C2" s="69"/>
      <c r="D2" s="69"/>
      <c r="E2" s="69"/>
      <c r="F2" s="69"/>
      <c r="G2" s="69"/>
      <c r="H2" s="69"/>
      <c r="I2" s="69"/>
      <c r="J2" s="69"/>
      <c r="K2" s="69"/>
      <c r="L2" s="69"/>
      <c r="M2" s="69"/>
      <c r="N2" s="69"/>
      <c r="O2" s="69"/>
      <c r="P2" s="69"/>
      <c r="Q2" s="69"/>
      <c r="R2" s="117"/>
      <c r="S2" s="117"/>
      <c r="T2" s="117"/>
    </row>
    <row r="3" spans="1:22">
      <c r="A3" s="69"/>
      <c r="B3" s="69"/>
      <c r="C3" s="69"/>
      <c r="D3" s="69"/>
      <c r="E3" s="69"/>
      <c r="F3" s="69"/>
      <c r="G3" s="69"/>
      <c r="H3" s="69"/>
      <c r="I3" s="69"/>
      <c r="J3" s="69"/>
      <c r="K3" s="69"/>
      <c r="L3" s="69"/>
      <c r="M3" s="69"/>
      <c r="N3" s="69"/>
      <c r="O3" s="69"/>
      <c r="P3" s="69"/>
      <c r="Q3" s="69"/>
      <c r="R3" s="117"/>
      <c r="S3" s="605"/>
      <c r="T3" s="605"/>
    </row>
    <row r="4" spans="1:22">
      <c r="A4" s="69"/>
      <c r="B4" s="69"/>
      <c r="C4" s="71">
        <v>2000</v>
      </c>
      <c r="D4" s="71">
        <v>2001</v>
      </c>
      <c r="E4" s="71">
        <v>2002</v>
      </c>
      <c r="F4" s="71">
        <v>2003</v>
      </c>
      <c r="G4" s="71">
        <v>2004</v>
      </c>
      <c r="H4" s="71">
        <v>2005</v>
      </c>
      <c r="I4" s="71">
        <v>2006</v>
      </c>
      <c r="J4" s="71">
        <v>2007</v>
      </c>
      <c r="K4" s="71">
        <v>2008</v>
      </c>
      <c r="L4" s="71">
        <v>2009</v>
      </c>
      <c r="M4" s="71">
        <v>2010</v>
      </c>
      <c r="N4" s="71">
        <v>2011</v>
      </c>
      <c r="O4" s="71">
        <v>2012</v>
      </c>
      <c r="P4" s="71">
        <v>2013</v>
      </c>
      <c r="Q4" s="71">
        <v>2014</v>
      </c>
      <c r="R4" s="71">
        <v>2015</v>
      </c>
      <c r="S4" s="71">
        <v>2016</v>
      </c>
      <c r="T4" s="71">
        <v>2017</v>
      </c>
      <c r="U4" s="71">
        <v>2018</v>
      </c>
      <c r="V4" s="72" t="s">
        <v>773</v>
      </c>
    </row>
    <row r="5" spans="1:22">
      <c r="A5" s="69"/>
      <c r="B5" s="69" t="s">
        <v>434</v>
      </c>
      <c r="C5" s="69">
        <v>380.4</v>
      </c>
      <c r="D5" s="69">
        <v>602.4</v>
      </c>
      <c r="E5" s="69">
        <v>609.5</v>
      </c>
      <c r="F5" s="69">
        <v>541.70000000000005</v>
      </c>
      <c r="G5" s="69">
        <v>334.5</v>
      </c>
      <c r="H5" s="69">
        <v>429.6</v>
      </c>
      <c r="I5" s="69">
        <v>500</v>
      </c>
      <c r="J5" s="69">
        <v>477.6</v>
      </c>
      <c r="K5" s="69">
        <v>582.1</v>
      </c>
      <c r="L5" s="450">
        <v>581.29999999999995</v>
      </c>
      <c r="M5" s="450">
        <v>621.1</v>
      </c>
      <c r="N5" s="450">
        <v>619.1</v>
      </c>
      <c r="O5" s="450">
        <v>727.33</v>
      </c>
      <c r="P5" s="450">
        <v>726.49</v>
      </c>
      <c r="Q5" s="450">
        <v>624.6</v>
      </c>
      <c r="R5" s="450">
        <v>650.75</v>
      </c>
      <c r="S5" s="450">
        <v>757.73</v>
      </c>
      <c r="T5" s="616">
        <v>666.44801210500009</v>
      </c>
      <c r="U5" s="616">
        <v>821.07786130739407</v>
      </c>
      <c r="V5" s="616">
        <v>392.794641915</v>
      </c>
    </row>
    <row r="6" spans="1:22">
      <c r="A6" s="69"/>
      <c r="B6" s="69" t="s">
        <v>236</v>
      </c>
      <c r="C6" s="451">
        <f>C5/C7</f>
        <v>3.2278511624591742E-2</v>
      </c>
      <c r="D6" s="451">
        <f t="shared" ref="D6:V6" si="0">D5/D7</f>
        <v>4.9045269989163469E-2</v>
      </c>
      <c r="E6" s="451">
        <f t="shared" si="0"/>
        <v>4.812783131017459E-2</v>
      </c>
      <c r="F6" s="451">
        <f t="shared" si="0"/>
        <v>4.0901880036756579E-2</v>
      </c>
      <c r="G6" s="451">
        <f t="shared" si="0"/>
        <v>2.437192208853893E-2</v>
      </c>
      <c r="H6" s="451">
        <f t="shared" si="0"/>
        <v>2.9228466458021501E-2</v>
      </c>
      <c r="I6" s="451">
        <f t="shared" si="0"/>
        <v>3.125021484522706E-2</v>
      </c>
      <c r="J6" s="451">
        <f t="shared" si="0"/>
        <v>2.807471306596911E-2</v>
      </c>
      <c r="K6" s="451">
        <f t="shared" si="0"/>
        <v>3.236245954692557E-2</v>
      </c>
      <c r="L6" s="451">
        <f t="shared" si="0"/>
        <v>3.3025369255784413E-2</v>
      </c>
      <c r="M6" s="451">
        <f t="shared" si="0"/>
        <v>3.3667752245239574E-2</v>
      </c>
      <c r="N6" s="451">
        <f t="shared" si="0"/>
        <v>3.0521924414482905E-2</v>
      </c>
      <c r="O6" s="451">
        <f t="shared" si="0"/>
        <v>3.400939393018379E-2</v>
      </c>
      <c r="P6" s="451">
        <f t="shared" si="0"/>
        <v>3.3035847457318829E-2</v>
      </c>
      <c r="Q6" s="451">
        <f t="shared" si="0"/>
        <v>2.7645155879110202E-2</v>
      </c>
      <c r="R6" s="451">
        <f t="shared" si="0"/>
        <v>2.7764456716886592E-2</v>
      </c>
      <c r="S6" s="451">
        <f t="shared" si="0"/>
        <v>3.1370644581812372E-2</v>
      </c>
      <c r="T6" s="662">
        <f t="shared" ref="T6" si="1">T5/T7</f>
        <v>2.6734949219892355E-2</v>
      </c>
      <c r="U6" s="662">
        <f t="shared" si="0"/>
        <v>3.1510908852205748E-2</v>
      </c>
      <c r="V6" s="662">
        <f t="shared" si="0"/>
        <v>1.4632111437825716E-2</v>
      </c>
    </row>
    <row r="7" spans="1:22">
      <c r="A7" s="69"/>
      <c r="B7" s="69" t="s">
        <v>56</v>
      </c>
      <c r="C7" s="74">
        <v>11784.93</v>
      </c>
      <c r="D7" s="74">
        <v>12282.53</v>
      </c>
      <c r="E7" s="74">
        <v>12664.19</v>
      </c>
      <c r="F7" s="74">
        <v>13243.89</v>
      </c>
      <c r="G7" s="74">
        <v>13724.81</v>
      </c>
      <c r="H7" s="74">
        <v>14698</v>
      </c>
      <c r="I7" s="74">
        <v>15999.89</v>
      </c>
      <c r="J7" s="74">
        <v>17011.75</v>
      </c>
      <c r="K7" s="74">
        <v>17986.89</v>
      </c>
      <c r="L7" s="74">
        <v>17601.62</v>
      </c>
      <c r="M7" s="74">
        <v>18447.919999999998</v>
      </c>
      <c r="N7" s="74">
        <v>20283.78</v>
      </c>
      <c r="O7" s="74">
        <v>21386.15</v>
      </c>
      <c r="P7" s="74">
        <v>21990.959999999999</v>
      </c>
      <c r="Q7" s="74">
        <v>22593.47</v>
      </c>
      <c r="R7" s="74">
        <v>23438.240000000002</v>
      </c>
      <c r="S7" s="74">
        <v>24154.11</v>
      </c>
      <c r="T7" s="74">
        <v>24927.97</v>
      </c>
      <c r="U7" s="74">
        <v>26056.94</v>
      </c>
      <c r="V7" s="74">
        <v>26844.7</v>
      </c>
    </row>
    <row r="8" spans="1:22">
      <c r="L8" s="9"/>
      <c r="M8" s="9"/>
      <c r="N8" s="9"/>
      <c r="O8" s="9"/>
      <c r="P8" s="9"/>
      <c r="Q8" s="9"/>
      <c r="R8" s="9"/>
      <c r="S8" s="9"/>
      <c r="T8" s="9"/>
    </row>
    <row r="9" spans="1:22">
      <c r="L9" s="9"/>
    </row>
    <row r="15" spans="1:22">
      <c r="S15" s="23"/>
      <c r="T15" s="23"/>
      <c r="U15" s="23"/>
    </row>
    <row r="16" spans="1:22">
      <c r="S16" s="23"/>
      <c r="T16" s="23"/>
      <c r="U16" s="23"/>
    </row>
    <row r="17" spans="19:21">
      <c r="S17" s="23"/>
      <c r="T17" s="23"/>
      <c r="U17" s="23"/>
    </row>
    <row r="18" spans="19:21">
      <c r="S18" s="23"/>
      <c r="T18" s="23"/>
      <c r="U18" s="23"/>
    </row>
    <row r="19" spans="19:21">
      <c r="S19" s="23"/>
      <c r="T19" s="23"/>
      <c r="U19" s="23"/>
    </row>
    <row r="20" spans="19:21">
      <c r="S20" s="23"/>
      <c r="T20" s="23"/>
      <c r="U20" s="23"/>
    </row>
    <row r="21" spans="19:21">
      <c r="S21" s="23"/>
      <c r="T21" s="23"/>
      <c r="U21" s="23"/>
    </row>
    <row r="22" spans="19:21">
      <c r="S22" s="23"/>
      <c r="T22" s="23"/>
      <c r="U22" s="23"/>
    </row>
    <row r="23" spans="19:21">
      <c r="S23" s="23"/>
      <c r="T23" s="23"/>
      <c r="U23" s="23"/>
    </row>
    <row r="24" spans="19:21">
      <c r="S24" s="23"/>
      <c r="T24" s="23"/>
      <c r="U24" s="23"/>
    </row>
    <row r="25" spans="19:21">
      <c r="S25" s="23"/>
      <c r="T25" s="23"/>
      <c r="U25" s="23"/>
    </row>
    <row r="26" spans="19:21">
      <c r="S26" s="23"/>
      <c r="T26" s="23"/>
      <c r="U26" s="23"/>
    </row>
    <row r="27" spans="19:21">
      <c r="S27" s="23"/>
      <c r="T27" s="23"/>
      <c r="U27" s="23"/>
    </row>
    <row r="28" spans="19:21">
      <c r="S28" s="23"/>
      <c r="T28" s="23"/>
      <c r="U28" s="23"/>
    </row>
    <row r="29" spans="19:21">
      <c r="S29" s="23"/>
      <c r="T29" s="23"/>
      <c r="U29" s="23"/>
    </row>
    <row r="30" spans="19:21">
      <c r="S30" s="23"/>
      <c r="T30" s="23"/>
      <c r="U30" s="23"/>
    </row>
    <row r="31" spans="19:21">
      <c r="S31" s="23"/>
      <c r="T31" s="23"/>
      <c r="U31" s="23"/>
    </row>
    <row r="32" spans="19:21">
      <c r="S32" s="23"/>
      <c r="T32" s="23"/>
      <c r="U32"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E45"/>
  <sheetViews>
    <sheetView workbookViewId="0">
      <pane xSplit="2" ySplit="5" topLeftCell="W6" activePane="bottomRight" state="frozen"/>
      <selection pane="topRight" activeCell="C1" sqref="C1"/>
      <selection pane="bottomLeft" activeCell="A6" sqref="A6"/>
      <selection pane="bottomRight" activeCell="AE13" sqref="AE13"/>
    </sheetView>
  </sheetViews>
  <sheetFormatPr baseColWidth="10" defaultRowHeight="15"/>
  <cols>
    <col min="2" max="2" width="18" customWidth="1"/>
    <col min="3" max="30" width="9.7109375" customWidth="1"/>
  </cols>
  <sheetData>
    <row r="2" spans="2:31">
      <c r="B2" s="220" t="s">
        <v>775</v>
      </c>
    </row>
    <row r="5" spans="2:31">
      <c r="C5" s="601">
        <v>1991</v>
      </c>
      <c r="D5" s="601">
        <v>1992</v>
      </c>
      <c r="E5" s="601">
        <v>1993</v>
      </c>
      <c r="F5" s="601">
        <v>1994</v>
      </c>
      <c r="G5" s="601">
        <v>1995</v>
      </c>
      <c r="H5" s="601">
        <v>1996</v>
      </c>
      <c r="I5" s="601">
        <v>1997</v>
      </c>
      <c r="J5" s="601">
        <v>1998</v>
      </c>
      <c r="K5" s="601">
        <v>1999</v>
      </c>
      <c r="L5" s="601">
        <v>2000</v>
      </c>
      <c r="M5" s="601">
        <v>2001</v>
      </c>
      <c r="N5" s="601">
        <v>2002</v>
      </c>
      <c r="O5" s="601">
        <v>2003</v>
      </c>
      <c r="P5" s="601">
        <v>2004</v>
      </c>
      <c r="Q5" s="601">
        <v>2005</v>
      </c>
      <c r="R5" s="601">
        <v>2006</v>
      </c>
      <c r="S5" s="601">
        <v>2007</v>
      </c>
      <c r="T5" s="601">
        <v>2008</v>
      </c>
      <c r="U5" s="601">
        <v>2009</v>
      </c>
      <c r="V5" s="601">
        <v>2010</v>
      </c>
      <c r="W5" s="601">
        <v>2011</v>
      </c>
      <c r="X5" s="601">
        <v>2012</v>
      </c>
      <c r="Y5" s="601">
        <v>2013</v>
      </c>
      <c r="Z5" s="601">
        <v>2014</v>
      </c>
      <c r="AA5" s="601">
        <v>2015</v>
      </c>
      <c r="AB5" s="601">
        <v>2016</v>
      </c>
      <c r="AC5" s="601">
        <v>2017</v>
      </c>
      <c r="AD5" s="601">
        <v>2018</v>
      </c>
      <c r="AE5" s="601" t="s">
        <v>773</v>
      </c>
    </row>
    <row r="6" spans="2:31">
      <c r="B6" t="s">
        <v>672</v>
      </c>
      <c r="C6" s="23">
        <v>-18.899999999999999</v>
      </c>
      <c r="D6" s="23">
        <v>-150.19999999999999</v>
      </c>
      <c r="E6" s="23">
        <v>-271.8</v>
      </c>
      <c r="F6" s="23">
        <v>-112</v>
      </c>
      <c r="G6" s="23">
        <v>-46.5</v>
      </c>
      <c r="H6" s="23">
        <v>-13.2</v>
      </c>
      <c r="I6" s="23">
        <v>-257</v>
      </c>
      <c r="J6" s="23">
        <v>-197</v>
      </c>
      <c r="K6" s="23">
        <v>-315.8</v>
      </c>
      <c r="L6" s="23">
        <v>-398.5</v>
      </c>
      <c r="M6" s="23">
        <v>-605.70000000000005</v>
      </c>
      <c r="N6" s="23">
        <v>-632.4</v>
      </c>
      <c r="O6" s="23">
        <v>-560</v>
      </c>
      <c r="P6" s="23">
        <v>-379.3</v>
      </c>
      <c r="Q6" s="23">
        <v>-507.8</v>
      </c>
      <c r="R6" s="23">
        <v>-545.6</v>
      </c>
      <c r="S6" s="23">
        <v>-395.1</v>
      </c>
      <c r="T6" s="23">
        <v>-683.5</v>
      </c>
      <c r="U6" s="23">
        <v>-1171.1588424800007</v>
      </c>
      <c r="V6" s="23">
        <v>-916.95770048099951</v>
      </c>
      <c r="W6" s="23">
        <v>-906.60451246000105</v>
      </c>
      <c r="X6" s="23">
        <v>-813.85469906799949</v>
      </c>
      <c r="Y6" s="23">
        <v>-979.39974111319884</v>
      </c>
      <c r="Z6" s="23">
        <v>-906.97233438700073</v>
      </c>
      <c r="AA6" s="23">
        <v>-851.24991064118126</v>
      </c>
      <c r="AB6" s="23">
        <v>-750.30037916013407</v>
      </c>
      <c r="AC6" s="23">
        <v>-632.24783263600011</v>
      </c>
      <c r="AD6" s="23">
        <v>-694.4445667671705</v>
      </c>
      <c r="AE6" s="684">
        <v>-88.0412399992058</v>
      </c>
    </row>
    <row r="7" spans="2:31">
      <c r="B7" t="s">
        <v>674</v>
      </c>
      <c r="C7" s="23">
        <f t="shared" ref="C7:AB7" si="0">C6+C13</f>
        <v>-18.899999999999999</v>
      </c>
      <c r="D7" s="23">
        <f t="shared" si="0"/>
        <v>-150.19999999999999</v>
      </c>
      <c r="E7" s="23">
        <f t="shared" si="0"/>
        <v>-271.8</v>
      </c>
      <c r="F7" s="23">
        <f t="shared" si="0"/>
        <v>-112</v>
      </c>
      <c r="G7" s="23">
        <f t="shared" si="0"/>
        <v>-46.5</v>
      </c>
      <c r="H7" s="23">
        <f t="shared" si="0"/>
        <v>-13.2</v>
      </c>
      <c r="I7" s="23">
        <f t="shared" si="0"/>
        <v>-257</v>
      </c>
      <c r="J7" s="23">
        <f t="shared" si="0"/>
        <v>-197</v>
      </c>
      <c r="K7" s="23">
        <f t="shared" si="0"/>
        <v>-315.8</v>
      </c>
      <c r="L7" s="23">
        <f t="shared" si="0"/>
        <v>-398.5</v>
      </c>
      <c r="M7" s="23">
        <f t="shared" si="0"/>
        <v>-503.00000000000006</v>
      </c>
      <c r="N7" s="23">
        <f t="shared" si="0"/>
        <v>-475</v>
      </c>
      <c r="O7" s="23">
        <f t="shared" si="0"/>
        <v>-310.3</v>
      </c>
      <c r="P7" s="23">
        <f t="shared" si="0"/>
        <v>-102.80000000000001</v>
      </c>
      <c r="Q7" s="23">
        <f t="shared" si="0"/>
        <v>-180.7</v>
      </c>
      <c r="R7" s="23">
        <f t="shared" si="0"/>
        <v>-196.2</v>
      </c>
      <c r="S7" s="23">
        <f t="shared" si="0"/>
        <v>-75.800000000000011</v>
      </c>
      <c r="T7" s="23">
        <f t="shared" si="0"/>
        <v>-362.8</v>
      </c>
      <c r="U7" s="23">
        <f t="shared" si="0"/>
        <v>-825.15884248000066</v>
      </c>
      <c r="V7" s="23">
        <f t="shared" si="0"/>
        <v>-559.81797286099959</v>
      </c>
      <c r="W7" s="23">
        <f t="shared" si="0"/>
        <v>-501.01562312000107</v>
      </c>
      <c r="X7" s="23">
        <f t="shared" si="0"/>
        <v>-394.55469906799948</v>
      </c>
      <c r="Y7" s="23">
        <f t="shared" si="0"/>
        <v>-537.12950214319881</v>
      </c>
      <c r="Z7" s="23">
        <f t="shared" si="0"/>
        <v>-439.98635747500066</v>
      </c>
      <c r="AA7" s="23">
        <f t="shared" si="0"/>
        <v>-366.0396830111813</v>
      </c>
      <c r="AB7" s="23">
        <f t="shared" si="0"/>
        <v>-230.41603413013399</v>
      </c>
      <c r="AC7" s="23">
        <f>AC6+AC13</f>
        <v>-71.860890326000117</v>
      </c>
      <c r="AD7" s="23">
        <f>AD6+AD13</f>
        <v>-328.44706889717048</v>
      </c>
      <c r="AE7" s="684">
        <f>AE6+AE13</f>
        <v>75.327270260794194</v>
      </c>
    </row>
    <row r="8" spans="2:31">
      <c r="B8" t="s">
        <v>673</v>
      </c>
      <c r="C8" s="618">
        <f>+C6/C10</f>
        <v>-3.5983961434332122E-3</v>
      </c>
      <c r="D8" s="618">
        <f t="shared" ref="D8:AB8" si="1">+D6/D10</f>
        <v>-2.5836859669040493E-2</v>
      </c>
      <c r="E8" s="618">
        <f t="shared" si="1"/>
        <v>-4.0686978220940168E-2</v>
      </c>
      <c r="F8" s="618">
        <f t="shared" si="1"/>
        <v>-1.4584510728730704E-2</v>
      </c>
      <c r="G8" s="618">
        <f t="shared" si="1"/>
        <v>-5.2118651191723781E-3</v>
      </c>
      <c r="H8" s="618">
        <f t="shared" si="1"/>
        <v>-1.3769607347128671E-3</v>
      </c>
      <c r="I8" s="618">
        <f t="shared" si="1"/>
        <v>-2.514256420892395E-2</v>
      </c>
      <c r="J8" s="618">
        <f t="shared" si="1"/>
        <v>-1.8012795485280255E-2</v>
      </c>
      <c r="K8" s="618">
        <f t="shared" si="1"/>
        <v>-2.7986033569061163E-2</v>
      </c>
      <c r="L8" s="618">
        <f t="shared" si="1"/>
        <v>-3.3814371404836514E-2</v>
      </c>
      <c r="M8" s="618">
        <f t="shared" si="1"/>
        <v>-4.9313944276952716E-2</v>
      </c>
      <c r="N8" s="618">
        <f t="shared" si="1"/>
        <v>-4.9936079607144232E-2</v>
      </c>
      <c r="O8" s="618">
        <f t="shared" si="1"/>
        <v>-4.2283649290352006E-2</v>
      </c>
      <c r="P8" s="618">
        <f t="shared" si="1"/>
        <v>-2.7636083851069707E-2</v>
      </c>
      <c r="Q8" s="618">
        <f t="shared" si="1"/>
        <v>-3.4548918220166008E-2</v>
      </c>
      <c r="R8" s="618">
        <f t="shared" si="1"/>
        <v>-3.4100234439111775E-2</v>
      </c>
      <c r="S8" s="618">
        <f t="shared" si="1"/>
        <v>-2.3225123811483242E-2</v>
      </c>
      <c r="T8" s="618">
        <f t="shared" si="1"/>
        <v>-3.7999898815192619E-2</v>
      </c>
      <c r="U8" s="618">
        <f t="shared" si="1"/>
        <v>-6.6536991622362068E-2</v>
      </c>
      <c r="V8" s="618">
        <f t="shared" si="1"/>
        <v>-4.9705207984477362E-2</v>
      </c>
      <c r="W8" s="618">
        <f t="shared" si="1"/>
        <v>-4.4696033602218181E-2</v>
      </c>
      <c r="X8" s="618">
        <f t="shared" si="1"/>
        <v>-3.8055222612204599E-2</v>
      </c>
      <c r="Y8" s="618">
        <f t="shared" si="1"/>
        <v>-4.4536470491201789E-2</v>
      </c>
      <c r="Z8" s="618">
        <f t="shared" si="1"/>
        <v>-4.0143118095051389E-2</v>
      </c>
      <c r="AA8" s="618">
        <f t="shared" si="1"/>
        <v>-3.6318849480216145E-2</v>
      </c>
      <c r="AB8" s="618">
        <f t="shared" si="1"/>
        <v>-3.1063052174563007E-2</v>
      </c>
      <c r="AC8" s="618">
        <f t="shared" ref="AC8:AE9" si="2">+AC6/AC$10</f>
        <v>-2.5362989149778345E-2</v>
      </c>
      <c r="AD8" s="618">
        <f t="shared" si="2"/>
        <v>-2.6651040635131008E-2</v>
      </c>
      <c r="AE8" s="618">
        <f t="shared" si="2"/>
        <v>-3.279650731772223E-3</v>
      </c>
    </row>
    <row r="9" spans="2:31">
      <c r="B9" t="s">
        <v>675</v>
      </c>
      <c r="C9" s="618"/>
      <c r="D9" s="618"/>
      <c r="E9" s="618"/>
      <c r="F9" s="618"/>
      <c r="G9" s="618"/>
      <c r="H9" s="618"/>
      <c r="I9" s="618"/>
      <c r="J9" s="618"/>
      <c r="K9" s="618"/>
      <c r="L9" s="618"/>
      <c r="M9" s="618">
        <f t="shared" ref="M9:AB9" si="3">+M7/M$10</f>
        <v>-4.0952474775148122E-2</v>
      </c>
      <c r="N9" s="618">
        <f t="shared" si="3"/>
        <v>-3.750733367076773E-2</v>
      </c>
      <c r="O9" s="618">
        <f t="shared" si="3"/>
        <v>-2.3429672097850407E-2</v>
      </c>
      <c r="P9" s="618">
        <f t="shared" si="3"/>
        <v>-7.4900854729500824E-3</v>
      </c>
      <c r="Q9" s="618">
        <f t="shared" si="3"/>
        <v>-1.2294189685671518E-2</v>
      </c>
      <c r="R9" s="618">
        <f t="shared" si="3"/>
        <v>-1.2262584305267098E-2</v>
      </c>
      <c r="S9" s="618">
        <f t="shared" si="3"/>
        <v>-4.4557438241215634E-3</v>
      </c>
      <c r="T9" s="618">
        <f t="shared" si="3"/>
        <v>-2.0170246218217825E-2</v>
      </c>
      <c r="U9" s="618">
        <f t="shared" si="3"/>
        <v>-4.6879710076686162E-2</v>
      </c>
      <c r="V9" s="618">
        <f t="shared" si="3"/>
        <v>-3.0345858658374476E-2</v>
      </c>
      <c r="W9" s="618">
        <f t="shared" si="3"/>
        <v>-2.4700308478991642E-2</v>
      </c>
      <c r="X9" s="618">
        <f t="shared" si="3"/>
        <v>-1.8449075643255073E-2</v>
      </c>
      <c r="Y9" s="618">
        <f t="shared" si="3"/>
        <v>-2.4425013830373883E-2</v>
      </c>
      <c r="Z9" s="618">
        <f t="shared" si="3"/>
        <v>-1.9474049691127596E-2</v>
      </c>
      <c r="AA9" s="618">
        <f t="shared" si="3"/>
        <v>-1.561720005474734E-2</v>
      </c>
      <c r="AB9" s="618">
        <f t="shared" si="3"/>
        <v>-9.5394131321805686E-3</v>
      </c>
      <c r="AC9" s="618">
        <f t="shared" si="2"/>
        <v>-2.8827413674679531E-3</v>
      </c>
      <c r="AD9" s="618">
        <f t="shared" si="2"/>
        <v>-1.2604974678422351E-2</v>
      </c>
      <c r="AE9" s="618">
        <f t="shared" si="2"/>
        <v>2.8060388181203066E-3</v>
      </c>
    </row>
    <row r="10" spans="2:31">
      <c r="B10" t="s">
        <v>194</v>
      </c>
      <c r="C10" s="617">
        <v>5252.34</v>
      </c>
      <c r="D10" s="617">
        <v>5813.4</v>
      </c>
      <c r="E10" s="617">
        <v>6680.27</v>
      </c>
      <c r="F10" s="617">
        <v>7679.38</v>
      </c>
      <c r="G10" s="617">
        <v>8921.9500000000007</v>
      </c>
      <c r="H10" s="617">
        <v>9586.33</v>
      </c>
      <c r="I10" s="617">
        <v>10221.709999999999</v>
      </c>
      <c r="J10" s="617">
        <v>10936.67</v>
      </c>
      <c r="K10" s="617">
        <v>11284.2</v>
      </c>
      <c r="L10" s="617">
        <v>11784.93</v>
      </c>
      <c r="M10" s="617">
        <v>12282.53</v>
      </c>
      <c r="N10" s="617">
        <v>12664.19</v>
      </c>
      <c r="O10" s="617">
        <v>13243.89</v>
      </c>
      <c r="P10" s="617">
        <v>13724.81</v>
      </c>
      <c r="Q10" s="617">
        <v>14698</v>
      </c>
      <c r="R10" s="617">
        <v>15999.89</v>
      </c>
      <c r="S10" s="617">
        <v>17011.75</v>
      </c>
      <c r="T10" s="617">
        <v>17986.89</v>
      </c>
      <c r="U10" s="617">
        <v>17601.62</v>
      </c>
      <c r="V10" s="617">
        <v>18447.919999999998</v>
      </c>
      <c r="W10" s="617">
        <v>20283.78</v>
      </c>
      <c r="X10" s="617">
        <v>21386.15</v>
      </c>
      <c r="Y10" s="617">
        <v>21990.959999999999</v>
      </c>
      <c r="Z10" s="617">
        <v>22593.47</v>
      </c>
      <c r="AA10" s="617">
        <v>23438.240000000002</v>
      </c>
      <c r="AB10" s="617">
        <v>24154.11</v>
      </c>
      <c r="AC10" s="617">
        <v>24927.97</v>
      </c>
      <c r="AD10" s="617">
        <v>26056.94</v>
      </c>
      <c r="AE10" s="617">
        <v>26844.7</v>
      </c>
    </row>
    <row r="13" spans="2:31">
      <c r="B13" t="s">
        <v>671</v>
      </c>
      <c r="L13" s="23"/>
      <c r="M13" s="23">
        <v>102.7</v>
      </c>
      <c r="N13" s="23">
        <v>157.4</v>
      </c>
      <c r="O13" s="23">
        <v>249.7</v>
      </c>
      <c r="P13" s="23">
        <v>276.5</v>
      </c>
      <c r="Q13" s="23">
        <v>327.10000000000002</v>
      </c>
      <c r="R13" s="23">
        <v>349.40000000000003</v>
      </c>
      <c r="S13" s="23">
        <v>319.3</v>
      </c>
      <c r="T13" s="23">
        <v>320.7</v>
      </c>
      <c r="U13" s="23">
        <v>346</v>
      </c>
      <c r="V13" s="23">
        <v>357.13972761999997</v>
      </c>
      <c r="W13" s="23">
        <v>405.58888933999998</v>
      </c>
      <c r="X13" s="23">
        <v>419.3</v>
      </c>
      <c r="Y13" s="23">
        <v>442.27023896999998</v>
      </c>
      <c r="Z13" s="23">
        <v>466.98597691200007</v>
      </c>
      <c r="AA13" s="23">
        <v>485.21022762999996</v>
      </c>
      <c r="AB13" s="23">
        <v>519.88434503000008</v>
      </c>
      <c r="AC13" s="23">
        <v>560.38694230999999</v>
      </c>
      <c r="AD13" s="23">
        <v>365.99749787000002</v>
      </c>
      <c r="AE13" s="684">
        <v>163.36851025999999</v>
      </c>
    </row>
    <row r="19" spans="25:25">
      <c r="Y19" s="23"/>
    </row>
    <row r="20" spans="25:25">
      <c r="Y20" s="23"/>
    </row>
    <row r="21" spans="25:25">
      <c r="Y21" s="23"/>
    </row>
    <row r="22" spans="25:25">
      <c r="Y22" s="23"/>
    </row>
    <row r="23" spans="25:25">
      <c r="Y23" s="23"/>
    </row>
    <row r="24" spans="25:25">
      <c r="Y24" s="23"/>
    </row>
    <row r="25" spans="25:25">
      <c r="Y25" s="23"/>
    </row>
    <row r="26" spans="25:25">
      <c r="Y26" s="23"/>
    </row>
    <row r="27" spans="25:25">
      <c r="Y27" s="23"/>
    </row>
    <row r="28" spans="25:25">
      <c r="Y28" s="23"/>
    </row>
    <row r="29" spans="25:25">
      <c r="Y29" s="23"/>
    </row>
    <row r="30" spans="25:25">
      <c r="Y30" s="23"/>
    </row>
    <row r="31" spans="25:25">
      <c r="Y31" s="23"/>
    </row>
    <row r="32" spans="25:25">
      <c r="Y32" s="23"/>
    </row>
    <row r="33" spans="25:26">
      <c r="Y33" s="23"/>
      <c r="Z33" s="23"/>
    </row>
    <row r="34" spans="25:26">
      <c r="Y34" s="23"/>
      <c r="Z34" s="23"/>
    </row>
    <row r="35" spans="25:26">
      <c r="Y35" s="23"/>
      <c r="Z35" s="23"/>
    </row>
    <row r="36" spans="25:26">
      <c r="Y36" s="23"/>
      <c r="Z36" s="23"/>
    </row>
    <row r="37" spans="25:26">
      <c r="Y37" s="23"/>
      <c r="Z37" s="23"/>
    </row>
    <row r="38" spans="25:26">
      <c r="Y38" s="23"/>
      <c r="Z38" s="23"/>
    </row>
    <row r="39" spans="25:26">
      <c r="Y39" s="23"/>
      <c r="Z39" s="23"/>
    </row>
    <row r="40" spans="25:26">
      <c r="Y40" s="23"/>
      <c r="Z40" s="23"/>
    </row>
    <row r="41" spans="25:26">
      <c r="Y41" s="23"/>
      <c r="Z41" s="23"/>
    </row>
    <row r="42" spans="25:26">
      <c r="Y42" s="23"/>
      <c r="Z42" s="23"/>
    </row>
    <row r="43" spans="25:26">
      <c r="Y43" s="23"/>
      <c r="Z43" s="23"/>
    </row>
    <row r="44" spans="25:26">
      <c r="Y44" s="23"/>
      <c r="Z44" s="23"/>
    </row>
    <row r="45" spans="25:26">
      <c r="Y45" s="23"/>
      <c r="Z45" s="23"/>
    </row>
  </sheetData>
  <printOptions horizontalCentered="1"/>
  <pageMargins left="0.7" right="0.7" top="0.75" bottom="0.75" header="0.3" footer="0.3"/>
  <pageSetup scale="41"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2:G121"/>
  <sheetViews>
    <sheetView topLeftCell="A4" workbookViewId="0">
      <selection activeCell="B6" sqref="B6:B8"/>
    </sheetView>
  </sheetViews>
  <sheetFormatPr baseColWidth="10" defaultRowHeight="15"/>
  <cols>
    <col min="1" max="1" width="9.7109375" customWidth="1"/>
    <col min="2" max="2" width="54" customWidth="1"/>
  </cols>
  <sheetData>
    <row r="2" spans="2:6">
      <c r="B2" s="234" t="s">
        <v>376</v>
      </c>
    </row>
    <row r="3" spans="2:6">
      <c r="B3" s="234" t="s">
        <v>814</v>
      </c>
      <c r="D3" s="268"/>
      <c r="E3" s="268"/>
      <c r="F3" s="2"/>
    </row>
    <row r="4" spans="2:6">
      <c r="B4" s="234" t="s">
        <v>377</v>
      </c>
      <c r="D4" s="268"/>
      <c r="E4" s="268"/>
      <c r="F4" s="2"/>
    </row>
    <row r="5" spans="2:6">
      <c r="B5" s="2"/>
      <c r="C5" s="268"/>
      <c r="D5" s="268"/>
      <c r="E5" s="268"/>
      <c r="F5" s="2"/>
    </row>
    <row r="6" spans="2:6">
      <c r="B6" s="800"/>
      <c r="C6" s="437"/>
      <c r="D6" s="437"/>
      <c r="E6" s="803" t="s">
        <v>378</v>
      </c>
      <c r="F6" s="804"/>
    </row>
    <row r="7" spans="2:6">
      <c r="B7" s="801"/>
      <c r="C7" s="438">
        <v>2018</v>
      </c>
      <c r="D7" s="438">
        <v>2019</v>
      </c>
      <c r="E7" s="805">
        <v>2018</v>
      </c>
      <c r="F7" s="807">
        <v>2019</v>
      </c>
    </row>
    <row r="8" spans="2:6">
      <c r="B8" s="802"/>
      <c r="C8" s="439"/>
      <c r="D8" s="439"/>
      <c r="E8" s="806"/>
      <c r="F8" s="808"/>
    </row>
    <row r="9" spans="2:6" ht="20.100000000000001" customHeight="1">
      <c r="B9" s="440" t="s">
        <v>379</v>
      </c>
      <c r="C9" s="604">
        <f>+C11+C56+C83</f>
        <v>398.07224570000005</v>
      </c>
      <c r="D9" s="430">
        <f>+D11+D56+D83</f>
        <v>392.794641915</v>
      </c>
      <c r="E9" s="430">
        <f>C9/E$93*100</f>
        <v>1.5277014327085225</v>
      </c>
      <c r="F9" s="430">
        <f>D9/F$93*100</f>
        <v>1.4632111437825717</v>
      </c>
    </row>
    <row r="10" spans="2:6">
      <c r="B10" s="441"/>
      <c r="C10" s="689"/>
      <c r="D10" s="441"/>
      <c r="E10" s="442"/>
      <c r="F10" s="442"/>
    </row>
    <row r="11" spans="2:6" ht="20.100000000000001" customHeight="1">
      <c r="B11" s="440" t="s">
        <v>570</v>
      </c>
      <c r="C11" s="604">
        <f>C13+C42+C43+C44+C45+C46</f>
        <v>173.66990766999999</v>
      </c>
      <c r="D11" s="430">
        <f>D13+D42+D43+D44+D45+D46</f>
        <v>160.13387531000001</v>
      </c>
      <c r="E11" s="430">
        <f>C11/E$93*100</f>
        <v>0.66650154496268554</v>
      </c>
      <c r="F11" s="430">
        <f>D11/F$93*100</f>
        <v>0.59651951897395017</v>
      </c>
    </row>
    <row r="12" spans="2:6" ht="3.95" customHeight="1">
      <c r="B12" s="420"/>
      <c r="C12" s="690"/>
      <c r="D12" s="420"/>
      <c r="E12" s="18"/>
      <c r="F12" s="18"/>
    </row>
    <row r="13" spans="2:6">
      <c r="B13" s="243" t="s">
        <v>380</v>
      </c>
      <c r="C13" s="21">
        <f>SUM(C14:C41)</f>
        <v>88.731810370000005</v>
      </c>
      <c r="D13" s="16">
        <f>SUM(D14:D41)</f>
        <v>66.205183230000003</v>
      </c>
      <c r="E13" s="16">
        <f>C13/E$93*100</f>
        <v>0.34053043208450418</v>
      </c>
      <c r="F13" s="16">
        <f>D13/F$93*100</f>
        <v>0.24662292083726026</v>
      </c>
    </row>
    <row r="14" spans="2:6">
      <c r="B14" s="443" t="s">
        <v>381</v>
      </c>
      <c r="C14" s="20">
        <v>0.37755357000000006</v>
      </c>
      <c r="D14" s="20">
        <v>0.11559667999999998</v>
      </c>
      <c r="E14" s="18">
        <f>C14/E$93*100</f>
        <v>1.4489559019593248E-3</v>
      </c>
      <c r="F14" s="18">
        <f>D14/F$93*100</f>
        <v>4.3061267214757472E-4</v>
      </c>
    </row>
    <row r="15" spans="2:6">
      <c r="B15" s="443" t="s">
        <v>382</v>
      </c>
      <c r="C15" s="20">
        <v>0.68640539999999994</v>
      </c>
      <c r="D15" s="20">
        <v>0.94190630999999991</v>
      </c>
      <c r="E15" s="18">
        <f t="shared" ref="E15:F31" si="0">C15/E$93*100</f>
        <v>2.6342517578810099E-3</v>
      </c>
      <c r="F15" s="18">
        <f t="shared" si="0"/>
        <v>3.5087235469198758E-3</v>
      </c>
    </row>
    <row r="16" spans="2:6">
      <c r="B16" s="443" t="s">
        <v>181</v>
      </c>
      <c r="C16" s="20">
        <v>2.14E-4</v>
      </c>
      <c r="D16" s="20">
        <v>0</v>
      </c>
      <c r="E16" s="18">
        <f t="shared" si="0"/>
        <v>8.2127832354835231E-7</v>
      </c>
      <c r="F16" s="18">
        <f t="shared" si="0"/>
        <v>0</v>
      </c>
    </row>
    <row r="17" spans="2:6">
      <c r="B17" s="443" t="s">
        <v>697</v>
      </c>
      <c r="C17" s="20">
        <v>0</v>
      </c>
      <c r="D17" s="20">
        <v>0</v>
      </c>
      <c r="E17" s="18">
        <f t="shared" ref="E17" si="1">C17/E$93*100</f>
        <v>0</v>
      </c>
      <c r="F17" s="18">
        <f t="shared" ref="F17" si="2">D17/F$93*100</f>
        <v>0</v>
      </c>
    </row>
    <row r="18" spans="2:6">
      <c r="B18" s="443" t="s">
        <v>383</v>
      </c>
      <c r="C18" s="20">
        <v>0.23418930999999998</v>
      </c>
      <c r="D18" s="20">
        <v>0.31630630999999998</v>
      </c>
      <c r="E18" s="18">
        <f t="shared" si="0"/>
        <v>8.9875983135395026E-4</v>
      </c>
      <c r="F18" s="18">
        <f t="shared" si="0"/>
        <v>1.1782821562543069E-3</v>
      </c>
    </row>
    <row r="19" spans="2:6">
      <c r="B19" s="443" t="s">
        <v>384</v>
      </c>
      <c r="C19" s="20">
        <v>4.9409569999999993E-2</v>
      </c>
      <c r="D19" s="20">
        <v>4.8956270000000003E-2</v>
      </c>
      <c r="E19" s="18">
        <f t="shared" si="0"/>
        <v>1.8962153652731287E-4</v>
      </c>
      <c r="F19" s="18">
        <f t="shared" si="0"/>
        <v>1.8236847496898829E-4</v>
      </c>
    </row>
    <row r="20" spans="2:6">
      <c r="B20" s="443" t="s">
        <v>385</v>
      </c>
      <c r="C20" s="20">
        <v>1.3680448699999999</v>
      </c>
      <c r="D20" s="20">
        <v>1.9959652800000001</v>
      </c>
      <c r="E20" s="18">
        <f t="shared" si="0"/>
        <v>5.250213071834221E-3</v>
      </c>
      <c r="F20" s="18">
        <f t="shared" si="0"/>
        <v>7.4352303434197442E-3</v>
      </c>
    </row>
    <row r="21" spans="2:6">
      <c r="B21" s="443" t="s">
        <v>386</v>
      </c>
      <c r="C21" s="20">
        <v>4.0348580000000002E-2</v>
      </c>
      <c r="D21" s="20">
        <v>0.1249967</v>
      </c>
      <c r="E21" s="18">
        <f t="shared" si="0"/>
        <v>1.5484772962596531E-4</v>
      </c>
      <c r="F21" s="18">
        <f t="shared" si="0"/>
        <v>4.6562896959176299E-4</v>
      </c>
    </row>
    <row r="22" spans="2:6">
      <c r="B22" s="443" t="s">
        <v>387</v>
      </c>
      <c r="C22" s="20">
        <v>6.8245429999999996E-2</v>
      </c>
      <c r="D22" s="20">
        <v>0.13669431000000001</v>
      </c>
      <c r="E22" s="18">
        <f t="shared" si="0"/>
        <v>2.6190884271138514E-4</v>
      </c>
      <c r="F22" s="18">
        <f t="shared" si="0"/>
        <v>5.092040887027979E-4</v>
      </c>
    </row>
    <row r="23" spans="2:6">
      <c r="B23" s="443" t="s">
        <v>388</v>
      </c>
      <c r="C23" s="20">
        <v>9.2355180100000016</v>
      </c>
      <c r="D23" s="20">
        <v>5.2127271100000003</v>
      </c>
      <c r="E23" s="18">
        <f t="shared" si="0"/>
        <v>3.5443601627819697E-2</v>
      </c>
      <c r="F23" s="18">
        <f t="shared" si="0"/>
        <v>1.9418086661426651E-2</v>
      </c>
    </row>
    <row r="24" spans="2:6">
      <c r="B24" s="443" t="s">
        <v>389</v>
      </c>
      <c r="C24" s="20">
        <v>2.4542000000000001E-3</v>
      </c>
      <c r="D24" s="20">
        <v>1.8449499999999997E-2</v>
      </c>
      <c r="E24" s="18">
        <f t="shared" si="0"/>
        <v>9.4186040264129259E-6</v>
      </c>
      <c r="F24" s="18">
        <f t="shared" si="0"/>
        <v>6.8726787783063317E-5</v>
      </c>
    </row>
    <row r="25" spans="2:6">
      <c r="B25" s="443" t="s">
        <v>191</v>
      </c>
      <c r="C25" s="20">
        <v>0.29842433000000002</v>
      </c>
      <c r="D25" s="20">
        <v>0.68701893999999997</v>
      </c>
      <c r="E25" s="18">
        <f t="shared" si="0"/>
        <v>1.1452777263945807E-3</v>
      </c>
      <c r="F25" s="18">
        <f t="shared" si="0"/>
        <v>2.5592349327800273E-3</v>
      </c>
    </row>
    <row r="26" spans="2:6">
      <c r="B26" s="443" t="s">
        <v>167</v>
      </c>
      <c r="C26" s="20">
        <v>11.958343640000001</v>
      </c>
      <c r="D26" s="20">
        <v>4.41826352</v>
      </c>
      <c r="E26" s="18">
        <f t="shared" si="0"/>
        <v>4.5893123444272432E-2</v>
      </c>
      <c r="F26" s="18">
        <f t="shared" si="0"/>
        <v>1.6458606428829528E-2</v>
      </c>
    </row>
    <row r="27" spans="2:6">
      <c r="B27" s="443" t="s">
        <v>390</v>
      </c>
      <c r="C27" s="20">
        <v>8.8430375899999998</v>
      </c>
      <c r="D27" s="20">
        <v>1.1049154100000003</v>
      </c>
      <c r="E27" s="18">
        <f t="shared" si="0"/>
        <v>3.3937360219580659E-2</v>
      </c>
      <c r="F27" s="18">
        <f t="shared" si="0"/>
        <v>4.1159536519312949E-3</v>
      </c>
    </row>
    <row r="28" spans="2:6">
      <c r="B28" s="443" t="s">
        <v>391</v>
      </c>
      <c r="C28" s="20">
        <v>4.03770059</v>
      </c>
      <c r="D28" s="20">
        <v>2.7576532700000005</v>
      </c>
      <c r="E28" s="18">
        <f t="shared" si="0"/>
        <v>1.5495682110025199E-2</v>
      </c>
      <c r="F28" s="18">
        <f t="shared" si="0"/>
        <v>1.0272617201905778E-2</v>
      </c>
    </row>
    <row r="29" spans="2:6">
      <c r="B29" s="443" t="s">
        <v>392</v>
      </c>
      <c r="C29" s="20">
        <v>26.655525230000002</v>
      </c>
      <c r="D29" s="20">
        <v>28.388013659999999</v>
      </c>
      <c r="E29" s="18">
        <f t="shared" si="0"/>
        <v>0.10229721997287482</v>
      </c>
      <c r="F29" s="18">
        <f t="shared" si="0"/>
        <v>0.1057490441688676</v>
      </c>
    </row>
    <row r="30" spans="2:6">
      <c r="B30" s="443" t="s">
        <v>393</v>
      </c>
      <c r="C30" s="20">
        <v>1.3658224200000002</v>
      </c>
      <c r="D30" s="20">
        <v>0.50883886999999994</v>
      </c>
      <c r="E30" s="18">
        <f t="shared" si="0"/>
        <v>5.2416838661792226E-3</v>
      </c>
      <c r="F30" s="18">
        <f t="shared" si="0"/>
        <v>1.8954909907728525E-3</v>
      </c>
    </row>
    <row r="31" spans="2:6">
      <c r="B31" s="443" t="s">
        <v>580</v>
      </c>
      <c r="C31" s="20">
        <v>2.0969999999999999E-3</v>
      </c>
      <c r="D31" s="20">
        <v>1.89404E-3</v>
      </c>
      <c r="E31" s="18">
        <f t="shared" si="0"/>
        <v>8.0477600209387595E-6</v>
      </c>
      <c r="F31" s="18">
        <f t="shared" si="0"/>
        <v>7.055545414923616E-6</v>
      </c>
    </row>
    <row r="32" spans="2:6">
      <c r="B32" s="443" t="s">
        <v>394</v>
      </c>
      <c r="C32" s="20">
        <v>1.8496709200000001</v>
      </c>
      <c r="D32" s="20">
        <v>1.5336500900000001</v>
      </c>
      <c r="E32" s="18">
        <f t="shared" ref="E32:F58" si="3">C32/E$93*100</f>
        <v>7.0985730481015821E-3</v>
      </c>
      <c r="F32" s="18">
        <f t="shared" si="3"/>
        <v>5.7130461133855105E-3</v>
      </c>
    </row>
    <row r="33" spans="1:7">
      <c r="B33" s="443" t="s">
        <v>395</v>
      </c>
      <c r="C33" s="20">
        <v>16.823016159999998</v>
      </c>
      <c r="D33" s="20">
        <v>10.575750680000001</v>
      </c>
      <c r="E33" s="18">
        <f t="shared" si="3"/>
        <v>6.4562516396783343E-2</v>
      </c>
      <c r="F33" s="18">
        <f t="shared" si="3"/>
        <v>3.9396047189948109E-2</v>
      </c>
    </row>
    <row r="34" spans="1:7">
      <c r="A34" s="55"/>
      <c r="B34" s="443" t="s">
        <v>396</v>
      </c>
      <c r="C34" s="20">
        <v>0</v>
      </c>
      <c r="D34" s="20">
        <v>0</v>
      </c>
      <c r="E34" s="18">
        <f t="shared" si="3"/>
        <v>0</v>
      </c>
      <c r="F34" s="18">
        <f t="shared" si="3"/>
        <v>0</v>
      </c>
      <c r="G34" s="55"/>
    </row>
    <row r="35" spans="1:7">
      <c r="B35" s="443" t="s">
        <v>397</v>
      </c>
      <c r="C35" s="20">
        <v>2.5781617799999998</v>
      </c>
      <c r="D35" s="20">
        <v>0.59418300999999996</v>
      </c>
      <c r="E35" s="18">
        <f t="shared" si="3"/>
        <v>9.8943382453964279E-3</v>
      </c>
      <c r="F35" s="18">
        <f t="shared" si="3"/>
        <v>2.2134090155598684E-3</v>
      </c>
    </row>
    <row r="36" spans="1:7">
      <c r="B36" s="443" t="s">
        <v>727</v>
      </c>
      <c r="C36" s="20">
        <v>0</v>
      </c>
      <c r="D36" s="20">
        <v>0.19559458000000005</v>
      </c>
      <c r="E36" s="18">
        <f t="shared" ref="E36" si="4">C36/E$93*100</f>
        <v>0</v>
      </c>
      <c r="F36" s="18">
        <f t="shared" ref="F36" si="5">D36/F$93*100</f>
        <v>7.2861525738786433E-4</v>
      </c>
    </row>
    <row r="37" spans="1:7">
      <c r="B37" s="443" t="s">
        <v>398</v>
      </c>
      <c r="C37" s="20">
        <v>1.3739350499999998</v>
      </c>
      <c r="D37" s="20">
        <v>2.5828679999999999</v>
      </c>
      <c r="E37" s="18">
        <f t="shared" si="3"/>
        <v>5.2728181052725297E-3</v>
      </c>
      <c r="F37" s="18">
        <f t="shared" si="3"/>
        <v>9.6215193315626543E-3</v>
      </c>
    </row>
    <row r="38" spans="1:7">
      <c r="B38" s="443" t="s">
        <v>399</v>
      </c>
      <c r="C38" s="20">
        <v>0.20905961000000001</v>
      </c>
      <c r="D38" s="20">
        <v>9.5879900000000202E-3</v>
      </c>
      <c r="E38" s="18">
        <f t="shared" si="3"/>
        <v>8.0231834589940352E-4</v>
      </c>
      <c r="F38" s="18">
        <f t="shared" si="3"/>
        <v>3.571651014911703E-5</v>
      </c>
    </row>
    <row r="39" spans="1:7">
      <c r="B39" s="443" t="s">
        <v>400</v>
      </c>
      <c r="C39" s="20">
        <v>0.1042643</v>
      </c>
      <c r="D39" s="20">
        <v>9.7640999999999995E-3</v>
      </c>
      <c r="E39" s="18">
        <f t="shared" si="3"/>
        <v>4.0014023135487135E-4</v>
      </c>
      <c r="F39" s="18">
        <f t="shared" si="3"/>
        <v>3.6372542811057675E-5</v>
      </c>
    </row>
    <row r="40" spans="1:7">
      <c r="B40" s="443" t="s">
        <v>174</v>
      </c>
      <c r="C40" s="20">
        <v>0.56872735000000008</v>
      </c>
      <c r="D40" s="20">
        <v>3.9255886000000002</v>
      </c>
      <c r="E40" s="18">
        <f t="shared" si="3"/>
        <v>2.1826329185238177E-3</v>
      </c>
      <c r="F40" s="18">
        <f t="shared" si="3"/>
        <v>1.4623328254739295E-2</v>
      </c>
    </row>
    <row r="41" spans="1:7">
      <c r="B41" s="443" t="s">
        <v>401</v>
      </c>
      <c r="C41" s="20">
        <v>1.64146E-3</v>
      </c>
      <c r="D41" s="20">
        <v>0</v>
      </c>
      <c r="E41" s="18">
        <f t="shared" si="3"/>
        <v>6.2995117615498982E-6</v>
      </c>
      <c r="F41" s="18">
        <f t="shared" si="3"/>
        <v>0</v>
      </c>
    </row>
    <row r="42" spans="1:7">
      <c r="B42" s="243" t="s">
        <v>402</v>
      </c>
      <c r="C42" s="21">
        <v>6.1115000000000004</v>
      </c>
      <c r="D42" s="21">
        <v>2.4629848399999998</v>
      </c>
      <c r="E42" s="16">
        <f t="shared" si="3"/>
        <v>2.3454404085821286E-2</v>
      </c>
      <c r="F42" s="16">
        <f t="shared" si="3"/>
        <v>9.1749389637433079E-3</v>
      </c>
    </row>
    <row r="43" spans="1:7">
      <c r="B43" s="243" t="s">
        <v>403</v>
      </c>
      <c r="C43" s="21">
        <v>16.996409140000001</v>
      </c>
      <c r="D43" s="21">
        <v>46.969778409999996</v>
      </c>
      <c r="E43" s="16">
        <f t="shared" si="3"/>
        <v>6.522795516280884E-2</v>
      </c>
      <c r="F43" s="16">
        <f t="shared" si="3"/>
        <v>0.17496853535334719</v>
      </c>
    </row>
    <row r="44" spans="1:7">
      <c r="B44" s="243" t="s">
        <v>404</v>
      </c>
      <c r="C44" s="21">
        <v>0.91737561000000023</v>
      </c>
      <c r="D44" s="21">
        <v>2.1276345900000004</v>
      </c>
      <c r="E44" s="16">
        <f t="shared" si="3"/>
        <v>3.520657490864239E-3</v>
      </c>
      <c r="F44" s="16">
        <f t="shared" si="3"/>
        <v>7.9257156533691954E-3</v>
      </c>
    </row>
    <row r="45" spans="1:7">
      <c r="B45" s="243" t="s">
        <v>405</v>
      </c>
      <c r="C45" s="21">
        <v>54.445498980000004</v>
      </c>
      <c r="D45" s="21">
        <v>31.424251520000002</v>
      </c>
      <c r="E45" s="16">
        <f>C45/E$93*100</f>
        <v>0.20894816881798095</v>
      </c>
      <c r="F45" s="16">
        <f>D45/F$93*100</f>
        <v>0.11705942521242556</v>
      </c>
    </row>
    <row r="46" spans="1:7">
      <c r="B46" s="243" t="s">
        <v>659</v>
      </c>
      <c r="C46" s="21">
        <f>SUM(C47:C55)</f>
        <v>6.4673135700000008</v>
      </c>
      <c r="D46" s="21">
        <f>SUM(D47:D55)</f>
        <v>10.944042720000001</v>
      </c>
      <c r="E46" s="16">
        <v>8.898683569179347E-2</v>
      </c>
      <c r="F46" s="16">
        <v>3.4384726911990418E-2</v>
      </c>
    </row>
    <row r="47" spans="1:7">
      <c r="B47" s="443" t="s">
        <v>571</v>
      </c>
      <c r="C47" s="20">
        <v>4.5942604200000003</v>
      </c>
      <c r="D47" s="20">
        <v>10.296136260000001</v>
      </c>
      <c r="E47" s="18">
        <f t="shared" ref="E47" si="6">C47/E$93*100</f>
        <v>1.7631619138701631E-2</v>
      </c>
      <c r="F47" s="18">
        <f t="shared" ref="F47" si="7">D47/F$93*100</f>
        <v>3.835444709756488E-2</v>
      </c>
    </row>
    <row r="48" spans="1:7">
      <c r="B48" s="443" t="s">
        <v>572</v>
      </c>
      <c r="C48" s="20">
        <v>0</v>
      </c>
      <c r="D48" s="20">
        <v>0</v>
      </c>
      <c r="E48" s="18">
        <f t="shared" ref="E48:E54" si="8">C48/E$93*100</f>
        <v>0</v>
      </c>
      <c r="F48" s="18">
        <f t="shared" ref="F48:F54" si="9">D48/F$93*100</f>
        <v>0</v>
      </c>
    </row>
    <row r="49" spans="2:7">
      <c r="B49" s="443" t="s">
        <v>573</v>
      </c>
      <c r="C49" s="20">
        <v>1E-3</v>
      </c>
      <c r="D49" s="20">
        <v>0</v>
      </c>
      <c r="E49" s="18">
        <f t="shared" si="8"/>
        <v>3.8377491754595898E-6</v>
      </c>
      <c r="F49" s="18">
        <f t="shared" si="9"/>
        <v>0</v>
      </c>
    </row>
    <row r="50" spans="2:7">
      <c r="B50" s="443" t="s">
        <v>574</v>
      </c>
      <c r="C50" s="20">
        <v>0</v>
      </c>
      <c r="D50" s="20">
        <v>0.25427055999999998</v>
      </c>
      <c r="E50" s="18">
        <f t="shared" si="8"/>
        <v>0</v>
      </c>
      <c r="F50" s="18">
        <f t="shared" si="9"/>
        <v>9.4719091664276364E-4</v>
      </c>
    </row>
    <row r="51" spans="2:7">
      <c r="B51" s="443" t="s">
        <v>669</v>
      </c>
      <c r="C51" s="20">
        <v>0</v>
      </c>
      <c r="D51" s="20">
        <v>0</v>
      </c>
      <c r="E51" s="18">
        <f t="shared" si="8"/>
        <v>0</v>
      </c>
      <c r="F51" s="18">
        <f t="shared" si="9"/>
        <v>0</v>
      </c>
    </row>
    <row r="52" spans="2:7">
      <c r="B52" s="443" t="s">
        <v>575</v>
      </c>
      <c r="C52" s="20">
        <v>1.4293817700000002</v>
      </c>
      <c r="D52" s="20">
        <v>0</v>
      </c>
      <c r="E52" s="18">
        <f t="shared" si="8"/>
        <v>5.4856087092344701E-3</v>
      </c>
      <c r="F52" s="18">
        <f t="shared" si="9"/>
        <v>0</v>
      </c>
    </row>
    <row r="53" spans="2:7">
      <c r="B53" s="443" t="s">
        <v>698</v>
      </c>
      <c r="C53" s="20">
        <v>0.17201064999999999</v>
      </c>
      <c r="D53" s="20">
        <v>0.13062711999999999</v>
      </c>
      <c r="E53" s="18">
        <f t="shared" si="8"/>
        <v>6.6013373020776798E-4</v>
      </c>
      <c r="F53" s="18">
        <f t="shared" si="9"/>
        <v>4.8660301661035508E-4</v>
      </c>
    </row>
    <row r="54" spans="2:7">
      <c r="B54" s="443" t="s">
        <v>668</v>
      </c>
      <c r="C54" s="20">
        <v>0.27066072999999996</v>
      </c>
      <c r="D54" s="20">
        <v>0.26300878</v>
      </c>
      <c r="E54" s="18">
        <f t="shared" si="8"/>
        <v>1.0387279933867905E-3</v>
      </c>
      <c r="F54" s="18">
        <f t="shared" si="9"/>
        <v>9.7974192298666031E-4</v>
      </c>
    </row>
    <row r="55" spans="2:7">
      <c r="B55" s="443" t="s">
        <v>576</v>
      </c>
      <c r="C55" s="20">
        <v>0</v>
      </c>
      <c r="D55" s="20">
        <v>0</v>
      </c>
      <c r="E55" s="18">
        <f t="shared" si="3"/>
        <v>0</v>
      </c>
      <c r="F55" s="18">
        <f t="shared" si="3"/>
        <v>0</v>
      </c>
    </row>
    <row r="56" spans="2:7" ht="20.100000000000001" customHeight="1">
      <c r="B56" s="440" t="s">
        <v>406</v>
      </c>
      <c r="C56" s="604">
        <f>SUM(C57:C60)</f>
        <v>166.04629803000003</v>
      </c>
      <c r="D56" s="604">
        <f>SUM(D57:D60)</f>
        <v>151.04098007499999</v>
      </c>
      <c r="E56" s="430">
        <f t="shared" si="3"/>
        <v>0.63724404335274998</v>
      </c>
      <c r="F56" s="430">
        <f t="shared" si="3"/>
        <v>0.56264730123637063</v>
      </c>
    </row>
    <row r="57" spans="2:7">
      <c r="B57" s="443" t="s">
        <v>407</v>
      </c>
      <c r="C57" s="20">
        <v>32.584000000000003</v>
      </c>
      <c r="D57" s="20">
        <v>6.07986483</v>
      </c>
      <c r="E57" s="18">
        <f>C57/E$93*100</f>
        <v>0.12504921913317529</v>
      </c>
      <c r="F57" s="18">
        <f t="shared" si="3"/>
        <v>2.2648287483190348E-2</v>
      </c>
    </row>
    <row r="58" spans="2:7">
      <c r="B58" s="443" t="s">
        <v>408</v>
      </c>
      <c r="C58" s="20"/>
      <c r="D58" s="20">
        <v>0</v>
      </c>
      <c r="E58" s="18">
        <f>C58/E$93*100</f>
        <v>0</v>
      </c>
      <c r="F58" s="18">
        <f t="shared" si="3"/>
        <v>0</v>
      </c>
      <c r="G58" s="55"/>
    </row>
    <row r="59" spans="2:7">
      <c r="B59" s="443" t="s">
        <v>409</v>
      </c>
      <c r="C59" s="20">
        <v>129.65934944000003</v>
      </c>
      <c r="D59" s="20">
        <v>138.260693315</v>
      </c>
      <c r="E59" s="18">
        <f>C59/E$93*100</f>
        <v>0.49760006140398699</v>
      </c>
      <c r="F59" s="18">
        <f t="shared" ref="E59:F80" si="10">D59/F$93*100</f>
        <v>0.51503907033790652</v>
      </c>
    </row>
    <row r="60" spans="2:7">
      <c r="B60" s="243" t="s">
        <v>410</v>
      </c>
      <c r="C60" s="21">
        <f>SUM(C61:C82)</f>
        <v>3.8029485900000006</v>
      </c>
      <c r="D60" s="21">
        <f>SUM(D61:D82)</f>
        <v>6.7004219300000001</v>
      </c>
      <c r="E60" s="16">
        <f t="shared" si="10"/>
        <v>1.4594762815587711E-2</v>
      </c>
      <c r="F60" s="16">
        <f t="shared" si="10"/>
        <v>2.4959943415273779E-2</v>
      </c>
    </row>
    <row r="61" spans="2:7">
      <c r="B61" s="443" t="s">
        <v>632</v>
      </c>
      <c r="C61" s="20">
        <v>0.60248064999999995</v>
      </c>
      <c r="D61" s="20">
        <v>0.18767269</v>
      </c>
      <c r="E61" s="18">
        <f t="shared" si="10"/>
        <v>2.3121696177678575E-3</v>
      </c>
      <c r="F61" s="18">
        <f t="shared" si="10"/>
        <v>6.9910518649863847E-4</v>
      </c>
    </row>
    <row r="62" spans="2:7">
      <c r="B62" s="443" t="s">
        <v>411</v>
      </c>
      <c r="C62" s="20">
        <v>0</v>
      </c>
      <c r="D62" s="20">
        <v>1.1838214199999999</v>
      </c>
      <c r="E62" s="18">
        <f t="shared" si="10"/>
        <v>0</v>
      </c>
      <c r="F62" s="18">
        <f t="shared" si="10"/>
        <v>4.4098888048665092E-3</v>
      </c>
    </row>
    <row r="63" spans="2:7">
      <c r="B63" s="443" t="s">
        <v>412</v>
      </c>
      <c r="C63" s="20">
        <v>1.356E-3</v>
      </c>
      <c r="D63" s="20">
        <v>0.46617688999999995</v>
      </c>
      <c r="E63" s="18">
        <f t="shared" si="10"/>
        <v>5.2039878819232041E-6</v>
      </c>
      <c r="F63" s="18">
        <f t="shared" si="10"/>
        <v>1.7365695649420555E-3</v>
      </c>
    </row>
    <row r="64" spans="2:7">
      <c r="B64" s="443" t="s">
        <v>413</v>
      </c>
      <c r="C64" s="20">
        <v>0</v>
      </c>
      <c r="D64" s="20">
        <v>5.875E-3</v>
      </c>
      <c r="E64" s="18">
        <f t="shared" si="10"/>
        <v>0</v>
      </c>
      <c r="F64" s="18">
        <f t="shared" si="10"/>
        <v>2.1885139338491396E-5</v>
      </c>
    </row>
    <row r="65" spans="2:6">
      <c r="B65" s="443" t="s">
        <v>728</v>
      </c>
      <c r="C65" s="20">
        <v>0</v>
      </c>
      <c r="D65" s="20">
        <v>0.23530000000000001</v>
      </c>
      <c r="E65" s="18">
        <f t="shared" ref="E65" si="11">C65/E$93*100</f>
        <v>0</v>
      </c>
      <c r="F65" s="18">
        <f t="shared" ref="F65" si="12">D65/F$93*100</f>
        <v>8.7652311256970652E-4</v>
      </c>
    </row>
    <row r="66" spans="2:6">
      <c r="B66" s="443" t="s">
        <v>414</v>
      </c>
      <c r="C66" s="20">
        <v>0</v>
      </c>
      <c r="D66" s="20">
        <v>0</v>
      </c>
      <c r="E66" s="18">
        <f t="shared" si="10"/>
        <v>0</v>
      </c>
      <c r="F66" s="18">
        <f t="shared" si="10"/>
        <v>0</v>
      </c>
    </row>
    <row r="67" spans="2:6">
      <c r="B67" s="443" t="s">
        <v>415</v>
      </c>
      <c r="C67" s="20">
        <v>0.25776186000000001</v>
      </c>
      <c r="D67" s="20">
        <v>0.27544255000000001</v>
      </c>
      <c r="E67" s="18">
        <f t="shared" si="10"/>
        <v>9.8922536567993039E-4</v>
      </c>
      <c r="F67" s="18">
        <f t="shared" si="10"/>
        <v>1.0260593338722356E-3</v>
      </c>
    </row>
    <row r="68" spans="2:6">
      <c r="B68" s="443" t="s">
        <v>670</v>
      </c>
      <c r="C68" s="20">
        <v>0</v>
      </c>
      <c r="D68" s="20">
        <v>0</v>
      </c>
      <c r="E68" s="18">
        <f t="shared" ref="E68" si="13">C68/E$93*100</f>
        <v>0</v>
      </c>
      <c r="F68" s="18">
        <f t="shared" ref="F68" si="14">D68/F$93*100</f>
        <v>0</v>
      </c>
    </row>
    <row r="69" spans="2:6">
      <c r="B69" s="443" t="s">
        <v>416</v>
      </c>
      <c r="C69" s="20">
        <v>0.3951578</v>
      </c>
      <c r="D69" s="20">
        <v>0</v>
      </c>
      <c r="E69" s="18">
        <f t="shared" si="10"/>
        <v>1.5165165211264255E-3</v>
      </c>
      <c r="F69" s="18">
        <f t="shared" si="10"/>
        <v>0</v>
      </c>
    </row>
    <row r="70" spans="2:6">
      <c r="B70" s="443" t="s">
        <v>577</v>
      </c>
      <c r="C70" s="20">
        <v>1.7647191600000001</v>
      </c>
      <c r="D70" s="20">
        <v>2.3265186899999994</v>
      </c>
      <c r="E70" s="18">
        <f>C70/E$93*100</f>
        <v>6.7725495012077395E-3</v>
      </c>
      <c r="F70" s="18">
        <f>D70/F$93*100</f>
        <v>8.6665848007241621E-3</v>
      </c>
    </row>
    <row r="71" spans="2:6">
      <c r="B71" s="443" t="s">
        <v>417</v>
      </c>
      <c r="C71" s="20"/>
      <c r="D71" s="20"/>
      <c r="E71" s="18">
        <f t="shared" si="10"/>
        <v>0</v>
      </c>
      <c r="F71" s="18">
        <f t="shared" si="10"/>
        <v>0</v>
      </c>
    </row>
    <row r="72" spans="2:6">
      <c r="B72" s="443" t="s">
        <v>418</v>
      </c>
      <c r="C72" s="20">
        <v>0</v>
      </c>
      <c r="D72" s="20">
        <v>0</v>
      </c>
      <c r="E72" s="18">
        <f t="shared" si="10"/>
        <v>0</v>
      </c>
      <c r="F72" s="18">
        <f t="shared" si="10"/>
        <v>0</v>
      </c>
    </row>
    <row r="73" spans="2:6">
      <c r="B73" s="443" t="s">
        <v>419</v>
      </c>
      <c r="C73" s="20">
        <v>0.11074997</v>
      </c>
      <c r="D73" s="20">
        <v>6.3603939999999998E-2</v>
      </c>
      <c r="E73" s="18">
        <f t="shared" si="10"/>
        <v>4.2503060604967433E-4</v>
      </c>
      <c r="F73" s="18">
        <f t="shared" si="10"/>
        <v>2.3693295138332705E-4</v>
      </c>
    </row>
    <row r="74" spans="2:6">
      <c r="B74" s="443" t="s">
        <v>578</v>
      </c>
      <c r="C74" s="20">
        <v>1.1480799999999999E-2</v>
      </c>
      <c r="D74" s="20">
        <v>1.0975197700000001</v>
      </c>
      <c r="E74" s="18">
        <f>C74/E$93*100</f>
        <v>4.406043073361646E-5</v>
      </c>
      <c r="F74" s="18">
        <f>D74/F$93*100</f>
        <v>4.088403930757282E-3</v>
      </c>
    </row>
    <row r="75" spans="2:6">
      <c r="B75" s="443" t="s">
        <v>420</v>
      </c>
      <c r="C75" s="20">
        <v>0</v>
      </c>
      <c r="D75" s="20"/>
      <c r="E75" s="18">
        <f t="shared" si="10"/>
        <v>0</v>
      </c>
      <c r="F75" s="18">
        <f t="shared" si="10"/>
        <v>0</v>
      </c>
    </row>
    <row r="76" spans="2:6">
      <c r="B76" s="443" t="s">
        <v>421</v>
      </c>
      <c r="C76" s="20">
        <v>0.58818212999999997</v>
      </c>
      <c r="D76" s="20">
        <v>0.36615426000000001</v>
      </c>
      <c r="E76" s="18">
        <f t="shared" si="10"/>
        <v>2.2572954844275652E-3</v>
      </c>
      <c r="F76" s="18">
        <f t="shared" si="10"/>
        <v>1.363972255231014E-3</v>
      </c>
    </row>
    <row r="77" spans="2:6">
      <c r="B77" s="443" t="s">
        <v>422</v>
      </c>
      <c r="C77" s="20">
        <v>7.1060220000000007E-2</v>
      </c>
      <c r="D77" s="20">
        <v>0</v>
      </c>
      <c r="E77" s="18">
        <f t="shared" si="10"/>
        <v>2.7271130071297711E-4</v>
      </c>
      <c r="F77" s="18">
        <f t="shared" si="10"/>
        <v>0</v>
      </c>
    </row>
    <row r="78" spans="2:6">
      <c r="B78" s="443" t="s">
        <v>423</v>
      </c>
      <c r="C78" s="20">
        <v>0</v>
      </c>
      <c r="D78" s="20">
        <v>2.0899999999999998E-2</v>
      </c>
      <c r="E78" s="18">
        <f t="shared" si="10"/>
        <v>0</v>
      </c>
      <c r="F78" s="18">
        <f t="shared" si="10"/>
        <v>7.7855219093526828E-5</v>
      </c>
    </row>
    <row r="79" spans="2:6">
      <c r="B79" s="443" t="s">
        <v>815</v>
      </c>
      <c r="C79" s="20"/>
      <c r="D79" s="20">
        <v>0.47143671999999998</v>
      </c>
      <c r="E79" s="18">
        <f t="shared" ref="E79" si="15">C79/E$93*100</f>
        <v>0</v>
      </c>
      <c r="F79" s="18">
        <f t="shared" ref="F79" si="16">D79/F$93*100</f>
        <v>1.7561631159968261E-3</v>
      </c>
    </row>
    <row r="80" spans="2:6">
      <c r="B80" s="443" t="s">
        <v>424</v>
      </c>
      <c r="C80" s="20">
        <v>0</v>
      </c>
      <c r="D80" s="20">
        <v>0</v>
      </c>
      <c r="E80" s="18">
        <f t="shared" si="10"/>
        <v>0</v>
      </c>
      <c r="F80" s="18">
        <f t="shared" si="10"/>
        <v>0</v>
      </c>
    </row>
    <row r="81" spans="2:6">
      <c r="B81" s="443" t="s">
        <v>425</v>
      </c>
      <c r="C81" s="20">
        <v>0</v>
      </c>
      <c r="D81" s="20">
        <v>0</v>
      </c>
      <c r="E81" s="18">
        <f t="shared" ref="E81:F86" si="17">C81/E$93*100</f>
        <v>0</v>
      </c>
      <c r="F81" s="18">
        <f t="shared" si="17"/>
        <v>0</v>
      </c>
    </row>
    <row r="82" spans="2:6">
      <c r="B82" s="443" t="s">
        <v>426</v>
      </c>
      <c r="C82" s="20">
        <v>0</v>
      </c>
      <c r="D82" s="20">
        <v>0</v>
      </c>
      <c r="E82" s="18">
        <f t="shared" si="17"/>
        <v>0</v>
      </c>
      <c r="F82" s="18">
        <f t="shared" si="17"/>
        <v>0</v>
      </c>
    </row>
    <row r="83" spans="2:6" ht="20.100000000000001" customHeight="1">
      <c r="B83" s="440" t="s">
        <v>427</v>
      </c>
      <c r="C83" s="604">
        <f>SUM(C84:C86)</f>
        <v>58.356040000000007</v>
      </c>
      <c r="D83" s="604">
        <f>SUM(D84:D86)</f>
        <v>81.619786529999999</v>
      </c>
      <c r="E83" s="430">
        <f t="shared" si="17"/>
        <v>0.22395584439308686</v>
      </c>
      <c r="F83" s="430">
        <f t="shared" si="17"/>
        <v>0.30404432357225075</v>
      </c>
    </row>
    <row r="84" spans="2:6">
      <c r="B84" s="443" t="s">
        <v>428</v>
      </c>
      <c r="C84" s="20">
        <v>48.626940000000005</v>
      </c>
      <c r="D84" s="20">
        <v>66.569299529999995</v>
      </c>
      <c r="E84" s="18">
        <f t="shared" si="17"/>
        <v>0.18661799889012298</v>
      </c>
      <c r="F84" s="18">
        <f t="shared" si="17"/>
        <v>0.24797930142635227</v>
      </c>
    </row>
    <row r="85" spans="2:6">
      <c r="B85" s="443" t="s">
        <v>429</v>
      </c>
      <c r="C85" s="20">
        <v>2.1419999999999999</v>
      </c>
      <c r="D85" s="20">
        <v>0.69001000000000001</v>
      </c>
      <c r="E85" s="18">
        <f t="shared" si="17"/>
        <v>8.2204587338344411E-3</v>
      </c>
      <c r="F85" s="18">
        <f t="shared" si="17"/>
        <v>2.5703770204174377E-3</v>
      </c>
    </row>
    <row r="86" spans="2:6">
      <c r="B86" s="444" t="s">
        <v>430</v>
      </c>
      <c r="C86" s="217">
        <v>7.5870999999999995</v>
      </c>
      <c r="D86" s="217">
        <v>14.360476999999999</v>
      </c>
      <c r="E86" s="30">
        <f t="shared" si="17"/>
        <v>2.911738676912945E-2</v>
      </c>
      <c r="F86" s="30">
        <f t="shared" si="17"/>
        <v>5.3494645125481001E-2</v>
      </c>
    </row>
    <row r="87" spans="2:6">
      <c r="B87" s="48" t="s">
        <v>431</v>
      </c>
      <c r="C87" s="2"/>
      <c r="D87" s="2"/>
      <c r="E87" s="445"/>
      <c r="F87" s="445"/>
    </row>
    <row r="88" spans="2:6">
      <c r="B88" s="48" t="s">
        <v>432</v>
      </c>
      <c r="C88" s="2"/>
      <c r="D88" s="2"/>
      <c r="E88" s="2"/>
      <c r="F88" s="2"/>
    </row>
    <row r="89" spans="2:6">
      <c r="B89" s="48" t="s">
        <v>579</v>
      </c>
      <c r="C89" s="2"/>
      <c r="D89" s="2"/>
      <c r="E89" s="2"/>
      <c r="F89" s="2"/>
    </row>
    <row r="90" spans="2:6">
      <c r="B90" s="48"/>
      <c r="C90" s="2"/>
      <c r="D90" s="2"/>
      <c r="E90" s="2"/>
      <c r="F90" s="2"/>
    </row>
    <row r="91" spans="2:6">
      <c r="B91" s="2"/>
      <c r="C91" s="2"/>
      <c r="D91" s="2"/>
      <c r="E91" s="2"/>
      <c r="F91" s="2"/>
    </row>
    <row r="92" spans="2:6">
      <c r="B92" s="2"/>
      <c r="C92" s="2"/>
      <c r="D92" s="2"/>
      <c r="E92" s="2"/>
      <c r="F92" s="2"/>
    </row>
    <row r="93" spans="2:6">
      <c r="B93" s="2"/>
      <c r="C93" s="2" t="s">
        <v>433</v>
      </c>
      <c r="D93" s="2"/>
      <c r="E93" s="446">
        <v>26056.94</v>
      </c>
      <c r="F93" s="446">
        <v>26844.7</v>
      </c>
    </row>
    <row r="121" ht="29.25" customHeight="1"/>
  </sheetData>
  <mergeCells count="4">
    <mergeCell ref="B6:B8"/>
    <mergeCell ref="E6:F6"/>
    <mergeCell ref="E7:E8"/>
    <mergeCell ref="F7:F8"/>
  </mergeCells>
  <printOptions verticalCentered="1"/>
  <pageMargins left="0.7" right="0.7" top="0.75" bottom="0.75" header="0.3" footer="0.3"/>
  <pageSetup scale="64" orientation="portrait" r:id="rId1"/>
  <ignoredErrors>
    <ignoredError sqref="C13:D13" formulaRange="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2:O34"/>
  <sheetViews>
    <sheetView workbookViewId="0">
      <selection activeCell="H28" sqref="H28"/>
    </sheetView>
  </sheetViews>
  <sheetFormatPr baseColWidth="10" defaultRowHeight="15"/>
  <cols>
    <col min="2" max="2" width="35.7109375" customWidth="1"/>
    <col min="9" max="11" width="11.42578125" customWidth="1"/>
    <col min="12" max="12" width="25.140625" customWidth="1"/>
    <col min="13" max="15" width="11.42578125" customWidth="1"/>
  </cols>
  <sheetData>
    <row r="2" spans="1:15">
      <c r="B2" s="234" t="s">
        <v>816</v>
      </c>
      <c r="C2" s="9"/>
      <c r="D2" s="9"/>
      <c r="E2" s="9"/>
      <c r="I2" s="9"/>
      <c r="J2" s="9"/>
      <c r="K2" s="9"/>
    </row>
    <row r="3" spans="1:15">
      <c r="B3" s="234" t="s">
        <v>364</v>
      </c>
      <c r="C3" s="9"/>
      <c r="D3" s="9"/>
      <c r="E3" s="9"/>
      <c r="I3" s="9"/>
      <c r="J3" s="9"/>
      <c r="K3" s="9"/>
      <c r="L3" s="254" t="s">
        <v>817</v>
      </c>
      <c r="M3" s="254"/>
      <c r="N3" s="254"/>
      <c r="O3" s="254"/>
    </row>
    <row r="4" spans="1:15" ht="15.75" thickBot="1">
      <c r="A4" s="9"/>
      <c r="I4" s="9"/>
      <c r="J4" s="9"/>
      <c r="K4" s="9"/>
      <c r="L4" s="254" t="s">
        <v>643</v>
      </c>
      <c r="M4" s="254"/>
      <c r="N4" s="254"/>
      <c r="O4" s="254"/>
    </row>
    <row r="5" spans="1:15" ht="15.75" thickBot="1">
      <c r="A5" s="9"/>
      <c r="B5" s="809" t="s">
        <v>365</v>
      </c>
      <c r="C5" s="811" t="s">
        <v>230</v>
      </c>
      <c r="D5" s="812"/>
      <c r="E5" s="813" t="s">
        <v>366</v>
      </c>
      <c r="F5" s="814"/>
      <c r="I5" s="9"/>
      <c r="J5" s="619"/>
      <c r="K5" s="619"/>
      <c r="L5" s="254"/>
      <c r="M5" s="254"/>
      <c r="N5" s="254"/>
      <c r="O5" s="254"/>
    </row>
    <row r="6" spans="1:15" ht="15.75" thickBot="1">
      <c r="A6" s="9"/>
      <c r="B6" s="810"/>
      <c r="C6" s="417">
        <v>2018</v>
      </c>
      <c r="D6" s="417">
        <v>2019</v>
      </c>
      <c r="E6" s="417">
        <v>2018</v>
      </c>
      <c r="F6" s="418">
        <v>2019</v>
      </c>
      <c r="I6" s="9"/>
      <c r="L6" s="621" t="s">
        <v>644</v>
      </c>
      <c r="M6" s="621" t="s">
        <v>699</v>
      </c>
      <c r="N6" s="625" t="s">
        <v>645</v>
      </c>
      <c r="O6" s="254"/>
    </row>
    <row r="7" spans="1:15" ht="6" customHeight="1" thickBot="1">
      <c r="A7" s="9"/>
      <c r="B7" s="419"/>
      <c r="C7" s="420"/>
      <c r="D7" s="420"/>
      <c r="E7" s="239"/>
      <c r="F7" s="421"/>
      <c r="I7" s="9"/>
      <c r="L7" s="254"/>
      <c r="M7" s="254"/>
      <c r="N7" s="254"/>
      <c r="O7" s="254"/>
    </row>
    <row r="8" spans="1:15" ht="15.75" thickBot="1">
      <c r="A8" s="9"/>
      <c r="B8" s="422" t="s">
        <v>367</v>
      </c>
      <c r="C8" s="423">
        <f>SUM(C9:C13)</f>
        <v>196.77140266688113</v>
      </c>
      <c r="D8" s="423">
        <f>SUM(D9:D13)</f>
        <v>214.57123261971435</v>
      </c>
      <c r="E8" s="424">
        <f>C8/C$28</f>
        <v>0.49431127671291153</v>
      </c>
      <c r="F8" s="425">
        <f>D8/D$28</f>
        <v>0.54626822701453026</v>
      </c>
      <c r="I8" s="9"/>
      <c r="L8" s="621" t="s">
        <v>367</v>
      </c>
      <c r="M8" s="626">
        <v>196.09940433082699</v>
      </c>
      <c r="N8" s="626"/>
      <c r="O8" s="254"/>
    </row>
    <row r="9" spans="1:15">
      <c r="A9" s="9"/>
      <c r="B9" s="426" t="s">
        <v>368</v>
      </c>
      <c r="C9" s="20">
        <v>7.8012245310275476</v>
      </c>
      <c r="D9" s="20">
        <v>1.722510109240623</v>
      </c>
      <c r="E9" s="427">
        <f>C9/C$28</f>
        <v>1.9597528937599831E-2</v>
      </c>
      <c r="F9" s="428">
        <f>D9/D$28</f>
        <v>4.3852688540832255E-3</v>
      </c>
      <c r="I9" s="9"/>
      <c r="J9" s="627">
        <f>$M$31*N9</f>
        <v>7.8012245310275476</v>
      </c>
      <c r="L9" s="622" t="s">
        <v>368</v>
      </c>
      <c r="M9" s="221">
        <v>7.7745823979076745</v>
      </c>
      <c r="N9" s="628">
        <f>M9/M$28</f>
        <v>1.9597528937599831E-2</v>
      </c>
      <c r="O9" s="254"/>
    </row>
    <row r="10" spans="1:15">
      <c r="A10" s="9"/>
      <c r="B10" s="426" t="s">
        <v>369</v>
      </c>
      <c r="C10" s="20">
        <v>25.976429658481905</v>
      </c>
      <c r="D10" s="20">
        <v>45.087647086109989</v>
      </c>
      <c r="E10" s="427">
        <f t="shared" ref="E10:F13" si="0">C10/C$28</f>
        <v>6.5255631331069042E-2</v>
      </c>
      <c r="F10" s="428">
        <f t="shared" si="0"/>
        <v>0.11478681803370136</v>
      </c>
      <c r="I10" s="9"/>
      <c r="J10" s="627">
        <f>$M$31*N10</f>
        <v>25.976429658481905</v>
      </c>
      <c r="L10" s="623" t="s">
        <v>369</v>
      </c>
      <c r="M10" s="221">
        <v>25.887716983415604</v>
      </c>
      <c r="N10" s="628">
        <f>M10/M$28</f>
        <v>6.5255631331069042E-2</v>
      </c>
      <c r="O10" s="254"/>
    </row>
    <row r="11" spans="1:15">
      <c r="A11" s="9"/>
      <c r="B11" s="426" t="s">
        <v>370</v>
      </c>
      <c r="C11" s="20">
        <v>158.95895755113133</v>
      </c>
      <c r="D11" s="20">
        <v>157.5369266400202</v>
      </c>
      <c r="E11" s="427">
        <f t="shared" si="0"/>
        <v>0.39932228050981078</v>
      </c>
      <c r="F11" s="428">
        <f t="shared" si="0"/>
        <v>0.40106689305123178</v>
      </c>
      <c r="I11" s="9"/>
      <c r="J11" s="627">
        <f>$M$31*N11</f>
        <v>158.95895755113133</v>
      </c>
      <c r="L11" s="623" t="s">
        <v>370</v>
      </c>
      <c r="M11" s="221">
        <v>158.41609332631256</v>
      </c>
      <c r="N11" s="628">
        <f>M11/M$28</f>
        <v>0.39932228050981078</v>
      </c>
      <c r="O11" s="254"/>
    </row>
    <row r="12" spans="1:15">
      <c r="A12" s="9"/>
      <c r="B12" s="426" t="s">
        <v>633</v>
      </c>
      <c r="C12" s="20">
        <v>0</v>
      </c>
      <c r="D12" s="20">
        <v>0</v>
      </c>
      <c r="E12" s="427">
        <f t="shared" si="0"/>
        <v>0</v>
      </c>
      <c r="F12" s="428">
        <f t="shared" si="0"/>
        <v>0</v>
      </c>
      <c r="I12" s="9"/>
      <c r="J12" s="627">
        <f>$M$31*N12</f>
        <v>0</v>
      </c>
      <c r="L12" s="623" t="s">
        <v>633</v>
      </c>
      <c r="M12" s="221">
        <v>0</v>
      </c>
      <c r="N12" s="628">
        <f>M12/M$28</f>
        <v>0</v>
      </c>
      <c r="O12" s="254"/>
    </row>
    <row r="13" spans="1:15" ht="15.75" thickBot="1">
      <c r="A13" s="9"/>
      <c r="B13" s="426" t="s">
        <v>634</v>
      </c>
      <c r="C13" s="20">
        <v>4.0347909262403343</v>
      </c>
      <c r="D13" s="20">
        <v>10.224148784343535</v>
      </c>
      <c r="E13" s="427">
        <f t="shared" si="0"/>
        <v>1.0135835934431837E-2</v>
      </c>
      <c r="F13" s="428">
        <f t="shared" si="0"/>
        <v>2.6029247075513882E-2</v>
      </c>
      <c r="I13" s="9"/>
      <c r="J13" s="627">
        <f>$M$31*N13</f>
        <v>4.0347909262403343</v>
      </c>
      <c r="L13" s="623" t="s">
        <v>634</v>
      </c>
      <c r="M13" s="221">
        <v>4.0210116231911508</v>
      </c>
      <c r="N13" s="628">
        <f>M13/M$28</f>
        <v>1.0135835934431837E-2</v>
      </c>
      <c r="O13" s="254"/>
    </row>
    <row r="14" spans="1:15" ht="15.75" thickBot="1">
      <c r="A14" s="9"/>
      <c r="B14" s="429" t="s">
        <v>116</v>
      </c>
      <c r="C14" s="430">
        <f>SUM(C15:C24)</f>
        <v>182.04282346046267</v>
      </c>
      <c r="D14" s="430">
        <f>SUM(D15:D24)</f>
        <v>157.09166362638857</v>
      </c>
      <c r="E14" s="431">
        <f>C14/C$28</f>
        <v>0.45731147545613393</v>
      </c>
      <c r="F14" s="432">
        <f>D14/D$28</f>
        <v>0.39993331594472947</v>
      </c>
      <c r="I14" s="9"/>
      <c r="L14" s="621" t="s">
        <v>116</v>
      </c>
      <c r="M14" s="626">
        <v>181.42112501852432</v>
      </c>
      <c r="N14" s="626"/>
      <c r="O14" s="254"/>
    </row>
    <row r="15" spans="1:15">
      <c r="A15" s="9"/>
      <c r="B15" s="426" t="s">
        <v>371</v>
      </c>
      <c r="C15" s="20">
        <v>0.65359548107589283</v>
      </c>
      <c r="D15" s="20">
        <v>0.54048971164957893</v>
      </c>
      <c r="E15" s="427">
        <f>C15/C$28</f>
        <v>1.6419033067084608E-3</v>
      </c>
      <c r="F15" s="428">
        <f>D15/D$28</f>
        <v>1.3760109074159414E-3</v>
      </c>
      <c r="I15" s="9"/>
      <c r="J15" s="627">
        <f>$M$31*N15</f>
        <v>0.65359548107589283</v>
      </c>
      <c r="L15" s="622" t="s">
        <v>371</v>
      </c>
      <c r="M15" s="221">
        <v>0.65136337280313195</v>
      </c>
      <c r="N15" s="628">
        <f t="shared" ref="N15:N24" si="1">M15/M$28</f>
        <v>1.6419033067084608E-3</v>
      </c>
      <c r="O15" s="254"/>
    </row>
    <row r="16" spans="1:15">
      <c r="A16" s="9"/>
      <c r="B16" s="426" t="s">
        <v>635</v>
      </c>
      <c r="C16" s="20">
        <v>1.4192228096579468E-2</v>
      </c>
      <c r="D16" s="20">
        <v>1.2671393286236583</v>
      </c>
      <c r="E16" s="427">
        <f t="shared" ref="E16:F27" si="2">C16/C$28</f>
        <v>3.5652428629060227E-5</v>
      </c>
      <c r="F16" s="428">
        <f t="shared" si="2"/>
        <v>3.2259587922226921E-3</v>
      </c>
      <c r="I16" s="9"/>
      <c r="J16" s="627">
        <f t="shared" ref="J16:J27" si="3">$M$31*N16</f>
        <v>1.4192228096579468E-2</v>
      </c>
      <c r="L16" s="623" t="s">
        <v>635</v>
      </c>
      <c r="M16" s="221">
        <v>1.4143759906910932E-2</v>
      </c>
      <c r="N16" s="628">
        <f t="shared" si="1"/>
        <v>3.5652428629060227E-5</v>
      </c>
      <c r="O16" s="254"/>
    </row>
    <row r="17" spans="1:15">
      <c r="A17" s="9"/>
      <c r="B17" s="426" t="s">
        <v>372</v>
      </c>
      <c r="C17" s="20">
        <v>24.088117181389048</v>
      </c>
      <c r="D17" s="20">
        <v>1.4021251607769609</v>
      </c>
      <c r="E17" s="427">
        <f t="shared" si="2"/>
        <v>6.0511983937525327E-2</v>
      </c>
      <c r="F17" s="428">
        <f t="shared" si="2"/>
        <v>3.5696137654555333E-3</v>
      </c>
      <c r="I17" s="9"/>
      <c r="J17" s="627">
        <f t="shared" si="3"/>
        <v>24.088117181389048</v>
      </c>
      <c r="L17" s="623" t="s">
        <v>372</v>
      </c>
      <c r="M17" s="221">
        <v>24.0058533237086</v>
      </c>
      <c r="N17" s="628">
        <f t="shared" si="1"/>
        <v>6.0511983937525327E-2</v>
      </c>
      <c r="O17" s="254"/>
    </row>
    <row r="18" spans="1:15">
      <c r="A18" s="9"/>
      <c r="B18" s="426" t="s">
        <v>636</v>
      </c>
      <c r="C18" s="20">
        <v>15.900540367209302</v>
      </c>
      <c r="D18" s="20">
        <v>27.757335340448186</v>
      </c>
      <c r="E18" s="427">
        <f t="shared" si="2"/>
        <v>3.9943895824366728E-2</v>
      </c>
      <c r="F18" s="428">
        <f t="shared" si="2"/>
        <v>7.0666277943920677E-2</v>
      </c>
      <c r="I18" s="9"/>
      <c r="J18" s="627">
        <f t="shared" si="3"/>
        <v>15.900540367209302</v>
      </c>
      <c r="L18" s="623" t="s">
        <v>636</v>
      </c>
      <c r="M18" s="221">
        <v>15.846238082810713</v>
      </c>
      <c r="N18" s="628">
        <f t="shared" si="1"/>
        <v>3.9943895824366728E-2</v>
      </c>
      <c r="O18" s="254"/>
    </row>
    <row r="19" spans="1:15">
      <c r="A19" s="9"/>
      <c r="B19" s="426" t="s">
        <v>637</v>
      </c>
      <c r="C19" s="20">
        <v>0</v>
      </c>
      <c r="D19" s="20">
        <v>0</v>
      </c>
      <c r="E19" s="427">
        <f t="shared" si="2"/>
        <v>0</v>
      </c>
      <c r="F19" s="428">
        <f t="shared" si="2"/>
        <v>0</v>
      </c>
      <c r="I19" s="9"/>
      <c r="J19" s="627">
        <f t="shared" si="3"/>
        <v>0</v>
      </c>
      <c r="L19" s="623" t="s">
        <v>637</v>
      </c>
      <c r="M19" s="221">
        <v>0</v>
      </c>
      <c r="N19" s="628">
        <f t="shared" si="1"/>
        <v>0</v>
      </c>
      <c r="O19" s="254"/>
    </row>
    <row r="20" spans="1:15">
      <c r="A20" s="9"/>
      <c r="B20" s="426" t="s">
        <v>638</v>
      </c>
      <c r="C20" s="20">
        <v>0.2064636534528099</v>
      </c>
      <c r="D20" s="20">
        <v>1.7552275809310391</v>
      </c>
      <c r="E20" s="427">
        <f t="shared" si="2"/>
        <v>5.1865927035060972E-4</v>
      </c>
      <c r="F20" s="428">
        <f t="shared" si="2"/>
        <v>4.4685629426454015E-3</v>
      </c>
      <c r="I20" s="9"/>
      <c r="J20" s="627">
        <f t="shared" si="3"/>
        <v>0.2064636534528099</v>
      </c>
      <c r="L20" s="623" t="s">
        <v>638</v>
      </c>
      <c r="M20" s="221">
        <v>0.20575855489836789</v>
      </c>
      <c r="N20" s="628">
        <f t="shared" si="1"/>
        <v>5.1865927035060972E-4</v>
      </c>
      <c r="O20" s="254"/>
    </row>
    <row r="21" spans="1:15">
      <c r="A21" s="9"/>
      <c r="B21" s="426" t="s">
        <v>373</v>
      </c>
      <c r="C21" s="20">
        <v>114.52011793292408</v>
      </c>
      <c r="D21" s="20">
        <v>110.10998453251591</v>
      </c>
      <c r="E21" s="427">
        <f t="shared" si="2"/>
        <v>0.28768705684621704</v>
      </c>
      <c r="F21" s="428">
        <f t="shared" si="2"/>
        <v>0.28032455838932624</v>
      </c>
      <c r="I21" s="9"/>
      <c r="J21" s="627">
        <f t="shared" si="3"/>
        <v>114.52011793292408</v>
      </c>
      <c r="L21" s="623" t="s">
        <v>373</v>
      </c>
      <c r="M21" s="221">
        <v>114.12901776464439</v>
      </c>
      <c r="N21" s="628">
        <f t="shared" si="1"/>
        <v>0.28768705684621704</v>
      </c>
      <c r="O21" s="254"/>
    </row>
    <row r="22" spans="1:15">
      <c r="A22" s="9"/>
      <c r="B22" s="426" t="s">
        <v>374</v>
      </c>
      <c r="C22" s="20">
        <v>4.4207934596281069</v>
      </c>
      <c r="D22" s="20">
        <v>1.8424751076551789</v>
      </c>
      <c r="E22" s="427">
        <f t="shared" si="2"/>
        <v>1.1105516500343882E-2</v>
      </c>
      <c r="F22" s="428">
        <f t="shared" si="2"/>
        <v>4.69068289392269E-3</v>
      </c>
      <c r="I22" s="9"/>
      <c r="J22" s="627">
        <f t="shared" si="3"/>
        <v>4.4207934596281069</v>
      </c>
      <c r="L22" s="623" t="s">
        <v>374</v>
      </c>
      <c r="M22" s="221">
        <v>4.4056959108550346</v>
      </c>
      <c r="N22" s="628">
        <f t="shared" si="1"/>
        <v>1.1105516500343882E-2</v>
      </c>
      <c r="O22" s="254"/>
    </row>
    <row r="23" spans="1:15">
      <c r="A23" s="9"/>
      <c r="B23" s="426" t="s">
        <v>639</v>
      </c>
      <c r="C23" s="20">
        <v>0.57433364004649023</v>
      </c>
      <c r="D23" s="20">
        <v>2.0705719527206941</v>
      </c>
      <c r="E23" s="427">
        <f t="shared" si="2"/>
        <v>1.442788896266469E-3</v>
      </c>
      <c r="F23" s="428">
        <f t="shared" si="2"/>
        <v>5.2713854308856934E-3</v>
      </c>
      <c r="I23" s="9"/>
      <c r="J23" s="627">
        <f t="shared" si="3"/>
        <v>0.57433364004649023</v>
      </c>
      <c r="L23" s="623" t="s">
        <v>639</v>
      </c>
      <c r="M23" s="221">
        <v>0.57237222062669513</v>
      </c>
      <c r="N23" s="628">
        <f t="shared" si="1"/>
        <v>1.442788896266469E-3</v>
      </c>
      <c r="O23" s="254"/>
    </row>
    <row r="24" spans="1:15" ht="15.75" thickBot="1">
      <c r="A24" s="9"/>
      <c r="B24" s="433" t="s">
        <v>640</v>
      </c>
      <c r="C24" s="217">
        <v>21.664669516640359</v>
      </c>
      <c r="D24" s="217">
        <v>10.346314911067354</v>
      </c>
      <c r="E24" s="434">
        <f t="shared" si="2"/>
        <v>5.4424018445726377E-2</v>
      </c>
      <c r="F24" s="629">
        <f t="shared" si="2"/>
        <v>2.634026487893457E-2</v>
      </c>
      <c r="I24" s="9"/>
      <c r="J24" s="627">
        <f t="shared" si="3"/>
        <v>21.664669516640359</v>
      </c>
      <c r="L24" s="623" t="s">
        <v>640</v>
      </c>
      <c r="M24" s="221">
        <v>21.590682028270457</v>
      </c>
      <c r="N24" s="628">
        <f t="shared" si="1"/>
        <v>5.4424018445726377E-2</v>
      </c>
      <c r="O24" s="254"/>
    </row>
    <row r="25" spans="1:15" ht="15.75" thickBot="1">
      <c r="A25" s="9"/>
      <c r="B25" s="429" t="s">
        <v>658</v>
      </c>
      <c r="C25" s="430">
        <f>SUM(C26:C27)</f>
        <v>19.257620372656206</v>
      </c>
      <c r="D25" s="430">
        <f>SUM(D26:D27)</f>
        <v>21.131745668897043</v>
      </c>
      <c r="E25" s="431">
        <f>C25/C$28</f>
        <v>4.8377247830954574E-2</v>
      </c>
      <c r="F25" s="432">
        <f>D25/D$28</f>
        <v>5.3798457040740162E-2</v>
      </c>
      <c r="I25" s="9"/>
      <c r="L25" s="621" t="s">
        <v>658</v>
      </c>
      <c r="M25" s="626">
        <v>19.19185325064867</v>
      </c>
      <c r="N25" s="626"/>
      <c r="O25" s="254"/>
    </row>
    <row r="26" spans="1:15">
      <c r="A26" s="9"/>
      <c r="B26" s="620" t="s">
        <v>641</v>
      </c>
      <c r="C26" s="218">
        <v>18.029512872107794</v>
      </c>
      <c r="D26" s="218">
        <v>17.090806565440705</v>
      </c>
      <c r="E26" s="427">
        <f t="shared" si="2"/>
        <v>4.5292107519359061E-2</v>
      </c>
      <c r="F26" s="428">
        <f t="shared" si="2"/>
        <v>4.3510793533530739E-2</v>
      </c>
      <c r="I26" s="9"/>
      <c r="J26" s="627">
        <f t="shared" si="3"/>
        <v>18.029512872107794</v>
      </c>
      <c r="L26" s="623" t="s">
        <v>641</v>
      </c>
      <c r="M26" s="221">
        <v>17.967939886980307</v>
      </c>
      <c r="N26" s="628">
        <f>M26/M$28</f>
        <v>4.5292107519359061E-2</v>
      </c>
      <c r="O26" s="254"/>
    </row>
    <row r="27" spans="1:15" ht="15.75" thickBot="1">
      <c r="A27" s="9"/>
      <c r="B27" s="433" t="s">
        <v>642</v>
      </c>
      <c r="C27" s="217">
        <v>1.2281075005484106</v>
      </c>
      <c r="D27" s="217">
        <v>4.0409391034563393</v>
      </c>
      <c r="E27" s="427">
        <f t="shared" si="2"/>
        <v>3.0851403115955112E-3</v>
      </c>
      <c r="F27" s="428">
        <f t="shared" si="2"/>
        <v>1.0287663507209426E-2</v>
      </c>
      <c r="I27" s="9"/>
      <c r="J27" s="627">
        <f t="shared" si="3"/>
        <v>1.2281075005484106</v>
      </c>
      <c r="L27" s="623" t="s">
        <v>642</v>
      </c>
      <c r="M27" s="221">
        <v>1.2239133636683615</v>
      </c>
      <c r="N27" s="628">
        <f>M27/M$28</f>
        <v>3.0851403115955112E-3</v>
      </c>
      <c r="O27" s="254"/>
    </row>
    <row r="28" spans="1:15" ht="15.75" thickBot="1">
      <c r="A28" s="9"/>
      <c r="B28" s="435" t="s">
        <v>121</v>
      </c>
      <c r="C28" s="436">
        <f>C8+C14+C25</f>
        <v>398.07184649999999</v>
      </c>
      <c r="D28" s="436">
        <f>D8+D14+D25</f>
        <v>392.794641915</v>
      </c>
      <c r="E28" s="631">
        <f>C28/C$28</f>
        <v>1</v>
      </c>
      <c r="F28" s="630">
        <f>D28/D$28</f>
        <v>1</v>
      </c>
      <c r="I28" s="9"/>
      <c r="L28" s="621" t="s">
        <v>131</v>
      </c>
      <c r="M28" s="626">
        <v>396.71238259999996</v>
      </c>
      <c r="N28" s="626"/>
      <c r="O28" s="254"/>
    </row>
    <row r="29" spans="1:15">
      <c r="A29" s="9"/>
      <c r="B29" s="48" t="s">
        <v>375</v>
      </c>
      <c r="I29" s="9"/>
    </row>
    <row r="30" spans="1:15" ht="33.75" customHeight="1">
      <c r="B30" s="768"/>
      <c r="C30" s="768"/>
      <c r="D30" s="768"/>
      <c r="E30" s="768"/>
      <c r="F30" s="768"/>
      <c r="I30" s="9"/>
    </row>
    <row r="31" spans="1:15">
      <c r="I31" s="9"/>
      <c r="L31" s="632" t="s">
        <v>818</v>
      </c>
      <c r="M31" s="633">
        <v>398.07184649999999</v>
      </c>
      <c r="N31" s="624"/>
    </row>
    <row r="32" spans="1:15">
      <c r="I32" s="9"/>
    </row>
    <row r="33" spans="9:9">
      <c r="I33" s="9"/>
    </row>
    <row r="34" spans="9:9">
      <c r="I34" s="9"/>
    </row>
  </sheetData>
  <mergeCells count="4">
    <mergeCell ref="B5:B6"/>
    <mergeCell ref="C5:D5"/>
    <mergeCell ref="E5:F5"/>
    <mergeCell ref="B30:F30"/>
  </mergeCells>
  <printOptions horizontalCentered="1"/>
  <pageMargins left="0.7" right="0.7" top="0.75" bottom="0.75" header="0.3" footer="0.3"/>
  <pageSetup scale="58"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3:B5"/>
  <sheetViews>
    <sheetView workbookViewId="0">
      <selection activeCell="B17" sqref="B17"/>
    </sheetView>
  </sheetViews>
  <sheetFormatPr baseColWidth="10" defaultRowHeight="15"/>
  <cols>
    <col min="2" max="2" width="65.7109375" customWidth="1"/>
  </cols>
  <sheetData>
    <row r="3" spans="2:2" ht="33.75">
      <c r="B3" s="1" t="s">
        <v>314</v>
      </c>
    </row>
    <row r="4" spans="2:2" ht="33.75">
      <c r="B4" s="1" t="s">
        <v>315</v>
      </c>
    </row>
    <row r="5" spans="2:2" ht="33.75">
      <c r="B5" s="1"/>
    </row>
  </sheetData>
  <printOptions horizontalCentered="1"/>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A1:AH75"/>
  <sheetViews>
    <sheetView topLeftCell="A39" workbookViewId="0">
      <selection activeCell="B67" sqref="B67"/>
    </sheetView>
  </sheetViews>
  <sheetFormatPr baseColWidth="10" defaultRowHeight="15"/>
  <cols>
    <col min="1" max="1" width="3.7109375" customWidth="1"/>
    <col min="2" max="2" width="60.7109375" customWidth="1"/>
    <col min="3" max="3" width="8.7109375" hidden="1" customWidth="1"/>
    <col min="4" max="4" width="6.7109375" hidden="1" customWidth="1"/>
    <col min="5" max="5" width="8.7109375" hidden="1" customWidth="1"/>
    <col min="6" max="6" width="6.7109375" hidden="1" customWidth="1"/>
    <col min="7" max="7" width="8.7109375" hidden="1" customWidth="1"/>
    <col min="8" max="8" width="6.7109375" hidden="1" customWidth="1"/>
    <col min="9" max="9" width="8.7109375" hidden="1" customWidth="1"/>
    <col min="10" max="10" width="6.7109375" hidden="1" customWidth="1"/>
    <col min="11" max="11" width="8.7109375" hidden="1" customWidth="1"/>
    <col min="12" max="12" width="6.7109375" hidden="1" customWidth="1"/>
    <col min="13" max="13" width="8.7109375" hidden="1" customWidth="1"/>
    <col min="14" max="14" width="6.7109375" hidden="1" customWidth="1"/>
    <col min="15" max="15" width="8.7109375" hidden="1" customWidth="1"/>
    <col min="16" max="16" width="6.7109375" hidden="1" customWidth="1"/>
    <col min="17" max="17" width="8.7109375" hidden="1" customWidth="1"/>
    <col min="18" max="18" width="6.7109375" hidden="1" customWidth="1"/>
    <col min="19" max="19" width="8.7109375" hidden="1" customWidth="1"/>
    <col min="20" max="20" width="6.7109375" hidden="1" customWidth="1"/>
    <col min="21" max="21" width="8.7109375" hidden="1" customWidth="1"/>
    <col min="22" max="22" width="6.7109375" hidden="1" customWidth="1"/>
    <col min="23" max="23" width="8.7109375" customWidth="1"/>
    <col min="24" max="24" width="6.7109375" customWidth="1"/>
    <col min="25" max="25" width="8.7109375" customWidth="1"/>
    <col min="26" max="26" width="6.7109375" customWidth="1"/>
    <col min="27" max="27" width="8.7109375" customWidth="1"/>
    <col min="28" max="28" width="6.7109375" customWidth="1"/>
    <col min="29" max="29" width="8.7109375" customWidth="1"/>
    <col min="30" max="30" width="6.7109375" customWidth="1"/>
    <col min="31" max="31" width="8.7109375" customWidth="1"/>
    <col min="32" max="32" width="6.7109375" customWidth="1"/>
    <col min="33" max="33" width="8.7109375" customWidth="1"/>
    <col min="34" max="34" width="6.7109375" customWidth="1"/>
  </cols>
  <sheetData>
    <row r="1" spans="2:28" hidden="1"/>
    <row r="2" spans="2:28" hidden="1"/>
    <row r="3" spans="2:28" ht="15.75" hidden="1">
      <c r="B3" s="56" t="s">
        <v>456</v>
      </c>
    </row>
    <row r="4" spans="2:28" ht="15.75" hidden="1">
      <c r="B4" s="4"/>
      <c r="C4" s="4"/>
      <c r="D4" s="4"/>
      <c r="E4" s="4"/>
      <c r="F4" s="4"/>
      <c r="G4" s="4"/>
      <c r="H4" s="4"/>
      <c r="I4" s="4"/>
      <c r="J4" s="4"/>
      <c r="K4" s="4"/>
      <c r="L4" s="4"/>
      <c r="M4" s="4"/>
      <c r="N4" s="4"/>
      <c r="O4" s="4"/>
      <c r="P4" s="4"/>
      <c r="Q4" s="4"/>
      <c r="R4" s="4"/>
      <c r="S4" s="4"/>
      <c r="T4" s="4"/>
      <c r="U4" s="4"/>
      <c r="V4" s="4"/>
      <c r="W4" s="4"/>
      <c r="X4" s="4"/>
      <c r="Y4" s="4"/>
      <c r="Z4" s="4"/>
      <c r="AA4" s="4"/>
      <c r="AB4" s="4"/>
    </row>
    <row r="5" spans="2:28" ht="16.5" hidden="1" thickBot="1">
      <c r="B5" s="4"/>
      <c r="C5" s="4"/>
      <c r="D5" s="4"/>
      <c r="E5" s="4"/>
      <c r="F5" s="4"/>
      <c r="G5" s="4"/>
      <c r="H5" s="4"/>
      <c r="I5" s="4"/>
      <c r="J5" s="4"/>
      <c r="K5" s="4"/>
      <c r="L5" s="4"/>
      <c r="M5" s="4"/>
      <c r="N5" s="4"/>
      <c r="O5" s="4"/>
      <c r="P5" s="4"/>
      <c r="Q5" s="4"/>
      <c r="R5" s="4"/>
      <c r="S5" s="4"/>
      <c r="T5" s="4"/>
      <c r="U5" s="4"/>
      <c r="V5" s="4"/>
      <c r="W5" s="4"/>
      <c r="X5" s="4"/>
      <c r="Y5" s="4"/>
      <c r="Z5" s="4"/>
      <c r="AA5" s="4"/>
      <c r="AB5" s="4"/>
    </row>
    <row r="6" spans="2:28" ht="15.75" hidden="1">
      <c r="B6" s="452" t="s">
        <v>457</v>
      </c>
      <c r="C6" s="453">
        <v>2004</v>
      </c>
      <c r="D6" s="453" t="s">
        <v>458</v>
      </c>
      <c r="E6" s="453">
        <v>2005</v>
      </c>
      <c r="F6" s="453" t="s">
        <v>458</v>
      </c>
      <c r="G6" s="453">
        <v>2006</v>
      </c>
      <c r="H6" s="453" t="s">
        <v>458</v>
      </c>
      <c r="I6" s="453">
        <v>2007</v>
      </c>
      <c r="J6" s="453" t="s">
        <v>458</v>
      </c>
      <c r="K6" s="453">
        <v>2008</v>
      </c>
      <c r="L6" s="453" t="s">
        <v>458</v>
      </c>
      <c r="M6" s="453">
        <v>2009</v>
      </c>
      <c r="N6" s="453" t="s">
        <v>458</v>
      </c>
      <c r="O6" s="453">
        <v>2010</v>
      </c>
      <c r="P6" s="453" t="s">
        <v>458</v>
      </c>
      <c r="Q6" s="453">
        <v>2011</v>
      </c>
      <c r="R6" s="453" t="s">
        <v>458</v>
      </c>
      <c r="S6" s="453">
        <v>2012</v>
      </c>
      <c r="T6" s="453" t="s">
        <v>458</v>
      </c>
      <c r="U6" s="453">
        <v>2013</v>
      </c>
      <c r="V6" s="453" t="s">
        <v>458</v>
      </c>
      <c r="W6" s="453">
        <v>2014</v>
      </c>
      <c r="X6" s="453" t="s">
        <v>458</v>
      </c>
      <c r="Y6" s="453">
        <v>2015</v>
      </c>
      <c r="Z6" s="453" t="s">
        <v>458</v>
      </c>
      <c r="AA6" s="454">
        <v>2016</v>
      </c>
      <c r="AB6" s="455" t="s">
        <v>458</v>
      </c>
    </row>
    <row r="7" spans="2:28" ht="15.75" hidden="1">
      <c r="B7" s="456" t="s">
        <v>459</v>
      </c>
      <c r="C7" s="457">
        <f>+C9+C14+C19</f>
        <v>6404.2999999999993</v>
      </c>
      <c r="D7" s="457">
        <f>C7/C$20*100</f>
        <v>40.5379059772254</v>
      </c>
      <c r="E7" s="457">
        <f>+E9+E14+E19</f>
        <v>6756.9</v>
      </c>
      <c r="F7" s="457">
        <f>E7/E$20*100</f>
        <v>39.528367010261029</v>
      </c>
      <c r="G7" s="457">
        <f>+G9+G14+G19</f>
        <v>7384.0999999999995</v>
      </c>
      <c r="H7" s="457">
        <f>G7/G$20*100</f>
        <v>39.8049669284717</v>
      </c>
      <c r="I7" s="457">
        <f>+I9+I14+I19</f>
        <v>7425.8</v>
      </c>
      <c r="J7" s="457">
        <f>I7/I$20*100</f>
        <v>36.93527448532447</v>
      </c>
      <c r="K7" s="457">
        <f>+K9+K14+K19</f>
        <v>7883.8000000000011</v>
      </c>
      <c r="L7" s="457">
        <f>K7/K$20*100</f>
        <v>36.786897484951709</v>
      </c>
      <c r="M7" s="457">
        <f>+M9+M14+M19</f>
        <v>9273.5999999999985</v>
      </c>
      <c r="N7" s="457">
        <f>M7/M$20*100</f>
        <v>44.884565122694923</v>
      </c>
      <c r="O7" s="457">
        <f>+O9+O14+O19</f>
        <v>9616.24</v>
      </c>
      <c r="P7" s="457">
        <f>O7/O$20*100</f>
        <v>44.897307442700871</v>
      </c>
      <c r="Q7" s="457">
        <f>+Q9+Q14+Q19</f>
        <v>10131.9</v>
      </c>
      <c r="R7" s="457">
        <f>Q7/Q$20*100</f>
        <v>43.787112666925971</v>
      </c>
      <c r="S7" s="457">
        <f>+S9+S14+S19</f>
        <v>11286.730000000001</v>
      </c>
      <c r="T7" s="457">
        <f>S7/S$20*100</f>
        <v>47.396151778815479</v>
      </c>
      <c r="U7" s="457">
        <f>+U9+U14+U19</f>
        <v>11159.5</v>
      </c>
      <c r="V7" s="457">
        <f>U7/U$20*100</f>
        <v>45.827874945073901</v>
      </c>
      <c r="W7" s="457">
        <f>+W9+W14+W19</f>
        <v>11552.595796490001</v>
      </c>
      <c r="X7" s="457">
        <f>W7/W$20*100</f>
        <v>46.110415804495851</v>
      </c>
      <c r="Y7" s="457">
        <f>+Y9+Y14+Y19</f>
        <v>12027.838252360001</v>
      </c>
      <c r="Z7" s="457">
        <f>Y7/Y$20*100</f>
        <v>46.528994949207359</v>
      </c>
      <c r="AA7" s="458">
        <f>+AA9+AA14+AA19</f>
        <v>12307.059647970002</v>
      </c>
      <c r="AB7" s="459">
        <f>AA7/AA$20*100</f>
        <v>46.071424579680311</v>
      </c>
    </row>
    <row r="8" spans="2:28" ht="15.75" hidden="1">
      <c r="B8" s="60"/>
      <c r="C8" s="460"/>
      <c r="D8" s="460"/>
      <c r="E8" s="460"/>
      <c r="F8" s="460"/>
      <c r="G8" s="460"/>
      <c r="H8" s="460"/>
      <c r="I8" s="460"/>
      <c r="J8" s="460"/>
      <c r="K8" s="460"/>
      <c r="L8" s="460"/>
      <c r="M8" s="460"/>
      <c r="N8" s="460"/>
      <c r="O8" s="460"/>
      <c r="P8" s="460"/>
      <c r="Q8" s="460"/>
      <c r="R8" s="460"/>
      <c r="S8" s="460"/>
      <c r="T8" s="460"/>
      <c r="U8" s="460"/>
      <c r="V8" s="460"/>
      <c r="W8" s="460"/>
      <c r="X8" s="460"/>
      <c r="Y8" s="460"/>
      <c r="Z8" s="460"/>
      <c r="AA8" s="461"/>
      <c r="AB8" s="462"/>
    </row>
    <row r="9" spans="2:28" ht="15.75" hidden="1">
      <c r="B9" s="456" t="s">
        <v>460</v>
      </c>
      <c r="C9" s="457">
        <f>+C10+C11+C12</f>
        <v>4404.4999999999991</v>
      </c>
      <c r="D9" s="457">
        <f>C9/C$20*100</f>
        <v>27.879581980339651</v>
      </c>
      <c r="E9" s="457">
        <f>+E10+E11+E12</f>
        <v>4606</v>
      </c>
      <c r="F9" s="457">
        <f>E9/E$20*100</f>
        <v>26.945442207116031</v>
      </c>
      <c r="G9" s="457">
        <f>+G10+G11+G12</f>
        <v>5381</v>
      </c>
      <c r="H9" s="457">
        <f>G9/G$20*100</f>
        <v>29.006991649910784</v>
      </c>
      <c r="I9" s="457">
        <f>+I10+I11+I12</f>
        <v>5268.2</v>
      </c>
      <c r="J9" s="457">
        <f>I9/I$20*100</f>
        <v>26.203562315654388</v>
      </c>
      <c r="K9" s="457">
        <f>+K10+K11+K12</f>
        <v>5408.8</v>
      </c>
      <c r="L9" s="457">
        <f>K9/K$20*100</f>
        <v>25.238206336615182</v>
      </c>
      <c r="M9" s="457">
        <f>+M10+M11+M12</f>
        <v>6226.9999999999991</v>
      </c>
      <c r="N9" s="457">
        <f>M9/M$20*100</f>
        <v>30.138909055708819</v>
      </c>
      <c r="O9" s="457">
        <f>+O10+O11+O12</f>
        <v>6574</v>
      </c>
      <c r="P9" s="457">
        <f>O9/O$20*100</f>
        <v>30.69337902634663</v>
      </c>
      <c r="Q9" s="457">
        <f>+Q10+Q11+Q12</f>
        <v>6712</v>
      </c>
      <c r="R9" s="457">
        <f>Q9/Q$20*100</f>
        <v>29.007303686416876</v>
      </c>
      <c r="S9" s="457">
        <f>+S10+S11+S12</f>
        <v>7621.7000000000007</v>
      </c>
      <c r="T9" s="457">
        <f>S9/S$20*100</f>
        <v>32.005660630899996</v>
      </c>
      <c r="U9" s="457">
        <f>+U10+U11+U12</f>
        <v>7594.1</v>
      </c>
      <c r="V9" s="457">
        <f>U9/U$20*100</f>
        <v>31.186116324242636</v>
      </c>
      <c r="W9" s="457">
        <f>+W10+W11+W12</f>
        <v>8418.0030000000006</v>
      </c>
      <c r="X9" s="457">
        <f>W9/W$20*100</f>
        <v>33.599169001604523</v>
      </c>
      <c r="Y9" s="457">
        <f>+Y10+Y11+Y12</f>
        <v>8328.5959999999995</v>
      </c>
      <c r="Z9" s="457">
        <f>Y9/Y$20*100</f>
        <v>32.218690764481508</v>
      </c>
      <c r="AA9" s="458">
        <f>+AA10+AA11+AA12</f>
        <v>8478.1580000000013</v>
      </c>
      <c r="AB9" s="459">
        <f>AA9/AA$20*100</f>
        <v>31.737947815670275</v>
      </c>
    </row>
    <row r="10" spans="2:28" ht="15.75" hidden="1">
      <c r="B10" s="463" t="s">
        <v>461</v>
      </c>
      <c r="C10" s="460">
        <v>4221.8999999999996</v>
      </c>
      <c r="D10" s="460">
        <f t="shared" ref="D10:F12" si="0">C10/C$20*100</f>
        <v>26.72376141736769</v>
      </c>
      <c r="E10" s="460">
        <v>4432.6000000000004</v>
      </c>
      <c r="F10" s="460">
        <f t="shared" si="0"/>
        <v>25.931039324199425</v>
      </c>
      <c r="G10" s="460">
        <v>5153</v>
      </c>
      <c r="H10" s="460">
        <f t="shared" ref="H10:J12" si="1">G10/G$20*100</f>
        <v>27.777927517559981</v>
      </c>
      <c r="I10" s="460">
        <v>5013.3</v>
      </c>
      <c r="J10" s="460">
        <f t="shared" si="1"/>
        <v>24.935712189565727</v>
      </c>
      <c r="K10" s="460">
        <v>5039</v>
      </c>
      <c r="L10" s="460">
        <f t="shared" ref="L10:N12" si="2">K10/K$20*100</f>
        <v>23.51266856422939</v>
      </c>
      <c r="M10" s="460">
        <v>5784.7999999999993</v>
      </c>
      <c r="N10" s="460">
        <f t="shared" si="2"/>
        <v>27.9986447897004</v>
      </c>
      <c r="O10" s="460">
        <v>6102.2</v>
      </c>
      <c r="P10" s="460">
        <f t="shared" ref="P10:R12" si="3">O10/O$20*100</f>
        <v>28.490589822721692</v>
      </c>
      <c r="Q10" s="460">
        <v>6254.9</v>
      </c>
      <c r="R10" s="460">
        <f t="shared" si="3"/>
        <v>27.031850987510264</v>
      </c>
      <c r="S10" s="460">
        <v>7198.3</v>
      </c>
      <c r="T10" s="460">
        <f t="shared" ref="T10:V12" si="4">S10/S$20*100</f>
        <v>30.227685020324525</v>
      </c>
      <c r="U10" s="460">
        <v>7187.3</v>
      </c>
      <c r="V10" s="460">
        <f t="shared" si="4"/>
        <v>29.515541520025952</v>
      </c>
      <c r="W10" s="460">
        <v>8034.3030000000008</v>
      </c>
      <c r="X10" s="460">
        <f t="shared" ref="X10:Z12" si="5">W10/W$20*100</f>
        <v>32.067689249706639</v>
      </c>
      <c r="Y10" s="460">
        <v>7907.2960000000003</v>
      </c>
      <c r="Z10" s="460">
        <f t="shared" si="5"/>
        <v>30.588916139913813</v>
      </c>
      <c r="AA10" s="461">
        <v>8009.0580000000009</v>
      </c>
      <c r="AB10" s="462">
        <f>AA10/AA$20*100</f>
        <v>29.981873993935544</v>
      </c>
    </row>
    <row r="11" spans="2:28" ht="18" hidden="1">
      <c r="B11" s="463" t="s">
        <v>462</v>
      </c>
      <c r="C11" s="460">
        <v>178.9</v>
      </c>
      <c r="D11" s="460">
        <f t="shared" si="0"/>
        <v>1.1324003215535849</v>
      </c>
      <c r="E11" s="460">
        <v>167.4</v>
      </c>
      <c r="F11" s="460">
        <f t="shared" si="0"/>
        <v>0.97930243714095166</v>
      </c>
      <c r="G11" s="460">
        <v>221.7</v>
      </c>
      <c r="H11" s="460">
        <f t="shared" si="1"/>
        <v>1.1951031497463707</v>
      </c>
      <c r="I11" s="460">
        <v>249</v>
      </c>
      <c r="J11" s="460">
        <f t="shared" si="1"/>
        <v>1.2385040462772756</v>
      </c>
      <c r="K11" s="460">
        <v>356.6</v>
      </c>
      <c r="L11" s="460">
        <f t="shared" si="2"/>
        <v>1.6639447529280018</v>
      </c>
      <c r="M11" s="460">
        <v>375.9</v>
      </c>
      <c r="N11" s="460">
        <f t="shared" si="2"/>
        <v>1.8193698272106866</v>
      </c>
      <c r="O11" s="460">
        <v>386.3</v>
      </c>
      <c r="P11" s="460">
        <f t="shared" si="3"/>
        <v>1.8035978579065568</v>
      </c>
      <c r="Q11" s="460">
        <v>367.6</v>
      </c>
      <c r="R11" s="460">
        <f t="shared" si="3"/>
        <v>1.5886598383681232</v>
      </c>
      <c r="S11" s="460">
        <v>334.1</v>
      </c>
      <c r="T11" s="460">
        <f t="shared" si="4"/>
        <v>1.4029798098565527</v>
      </c>
      <c r="U11" s="460">
        <v>313.2</v>
      </c>
      <c r="V11" s="460">
        <f t="shared" si="4"/>
        <v>1.2861947607685957</v>
      </c>
      <c r="W11" s="460">
        <v>291.10000000000002</v>
      </c>
      <c r="X11" s="460">
        <f t="shared" si="5"/>
        <v>1.1618810419011583</v>
      </c>
      <c r="Y11" s="464">
        <v>326.5</v>
      </c>
      <c r="Z11" s="460">
        <f t="shared" si="5"/>
        <v>1.2630463207247913</v>
      </c>
      <c r="AA11" s="465">
        <v>375</v>
      </c>
      <c r="AB11" s="462">
        <f>AA11/AA$20*100</f>
        <v>1.4038108785984353</v>
      </c>
    </row>
    <row r="12" spans="2:28" ht="18" hidden="1">
      <c r="B12" s="463" t="s">
        <v>463</v>
      </c>
      <c r="C12" s="460">
        <v>3.7</v>
      </c>
      <c r="D12" s="460">
        <f t="shared" si="0"/>
        <v>2.342024141838046E-2</v>
      </c>
      <c r="E12" s="460">
        <v>6</v>
      </c>
      <c r="F12" s="460">
        <f t="shared" si="0"/>
        <v>3.5100445775661349E-2</v>
      </c>
      <c r="G12" s="460">
        <v>6.3</v>
      </c>
      <c r="H12" s="460">
        <f t="shared" si="1"/>
        <v>3.3960982604430021E-2</v>
      </c>
      <c r="I12" s="460">
        <v>5.9</v>
      </c>
      <c r="J12" s="460">
        <f t="shared" si="1"/>
        <v>2.9346079811389262E-2</v>
      </c>
      <c r="K12" s="460">
        <v>13.2</v>
      </c>
      <c r="L12" s="460">
        <f t="shared" si="2"/>
        <v>6.159301945779478E-2</v>
      </c>
      <c r="M12" s="460">
        <v>66.3</v>
      </c>
      <c r="N12" s="460">
        <f t="shared" si="2"/>
        <v>0.32089443879773488</v>
      </c>
      <c r="O12" s="460">
        <v>85.5</v>
      </c>
      <c r="P12" s="460">
        <f t="shared" si="3"/>
        <v>0.39919134571838105</v>
      </c>
      <c r="Q12" s="460">
        <v>89.5</v>
      </c>
      <c r="R12" s="460">
        <f t="shared" si="3"/>
        <v>0.38679286053848483</v>
      </c>
      <c r="S12" s="460">
        <v>89.3</v>
      </c>
      <c r="T12" s="460">
        <f t="shared" si="4"/>
        <v>0.37499580071891692</v>
      </c>
      <c r="U12" s="460">
        <v>93.6</v>
      </c>
      <c r="V12" s="460">
        <f t="shared" si="4"/>
        <v>0.38438004344808607</v>
      </c>
      <c r="W12" s="460">
        <v>92.6</v>
      </c>
      <c r="X12" s="460">
        <f t="shared" si="5"/>
        <v>0.36959870999672706</v>
      </c>
      <c r="Y12" s="464">
        <v>94.8</v>
      </c>
      <c r="Z12" s="460">
        <f t="shared" si="5"/>
        <v>0.36672830384291027</v>
      </c>
      <c r="AA12" s="465">
        <v>94.1</v>
      </c>
      <c r="AB12" s="462">
        <f>AA12/AA$20*100</f>
        <v>0.35226294313630069</v>
      </c>
    </row>
    <row r="13" spans="2:28" ht="15.75" hidden="1">
      <c r="B13" s="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1"/>
      <c r="AB13" s="462"/>
    </row>
    <row r="14" spans="2:28" ht="18" hidden="1">
      <c r="B14" s="456" t="s">
        <v>464</v>
      </c>
      <c r="C14" s="457">
        <f>+C15+C16+C17</f>
        <v>1800.1000000000001</v>
      </c>
      <c r="D14" s="457">
        <f>C14/C$20*100</f>
        <v>11.39426393979099</v>
      </c>
      <c r="E14" s="457">
        <f>+E15+E16+E17</f>
        <v>1975.7</v>
      </c>
      <c r="F14" s="457">
        <f>E14/E$20*100</f>
        <v>11.557991786495689</v>
      </c>
      <c r="G14" s="457">
        <f>+G15+G16+G17</f>
        <v>1790.2</v>
      </c>
      <c r="H14" s="457">
        <f>G14/G$20*100</f>
        <v>9.6503096918175579</v>
      </c>
      <c r="I14" s="457">
        <f>+I15+I16+I17</f>
        <v>1859.8</v>
      </c>
      <c r="J14" s="457">
        <f>I14/I$20*100</f>
        <v>9.2504812259697875</v>
      </c>
      <c r="K14" s="457">
        <f>+K15+K16+K17</f>
        <v>1914.4</v>
      </c>
      <c r="L14" s="457">
        <f>K14/K$20*100</f>
        <v>8.9328542765153287</v>
      </c>
      <c r="M14" s="457">
        <f>+M15+M16+M17</f>
        <v>2634.1</v>
      </c>
      <c r="N14" s="457">
        <f>M14/M$20*100</f>
        <v>12.749140893470789</v>
      </c>
      <c r="O14" s="457">
        <f>+O15+O16+O17</f>
        <v>2853.1</v>
      </c>
      <c r="P14" s="457">
        <f>O14/O$20*100</f>
        <v>13.320851794960383</v>
      </c>
      <c r="Q14" s="457">
        <f>+Q15+Q16+Q17</f>
        <v>2860.5</v>
      </c>
      <c r="R14" s="457">
        <f>Q14/Q$20*100</f>
        <v>12.362245559445093</v>
      </c>
      <c r="S14" s="457">
        <f>+S15+S16+S17</f>
        <v>2829</v>
      </c>
      <c r="T14" s="457">
        <f>S14/S$20*100</f>
        <v>11.879766184029295</v>
      </c>
      <c r="U14" s="457">
        <f>+U15+U16+U17</f>
        <v>2958</v>
      </c>
      <c r="V14" s="457">
        <f>U14/U$20*100</f>
        <v>12.147394962814516</v>
      </c>
      <c r="W14" s="457">
        <f>+W15+W16+W17</f>
        <v>2817.4927964899998</v>
      </c>
      <c r="X14" s="457">
        <f>W14/W$20*100</f>
        <v>11.245590745224353</v>
      </c>
      <c r="Y14" s="457">
        <f>+Y15+Y16+Y17</f>
        <v>2926.8416498900006</v>
      </c>
      <c r="Z14" s="457">
        <f>Y14/Y$20*100</f>
        <v>11.322317235031065</v>
      </c>
      <c r="AA14" s="458">
        <f>+AA15+AA16+AA17</f>
        <v>2813.9016479699999</v>
      </c>
      <c r="AB14" s="459">
        <f>AA14/AA$20*100</f>
        <v>10.533828652603601</v>
      </c>
    </row>
    <row r="15" spans="2:28" ht="15.75" hidden="1">
      <c r="B15" s="463" t="s">
        <v>465</v>
      </c>
      <c r="C15" s="460">
        <v>1790.4</v>
      </c>
      <c r="D15" s="460">
        <f t="shared" ref="D15:F16" si="6">C15/C$20*100</f>
        <v>11.332864928504966</v>
      </c>
      <c r="E15" s="460">
        <v>1975.4</v>
      </c>
      <c r="F15" s="460">
        <f t="shared" si="6"/>
        <v>11.556236764206906</v>
      </c>
      <c r="G15" s="460">
        <v>1790.2</v>
      </c>
      <c r="H15" s="460">
        <f t="shared" ref="H15:J16" si="7">G15/G$20*100</f>
        <v>9.6503096918175579</v>
      </c>
      <c r="I15" s="460">
        <v>1859.8</v>
      </c>
      <c r="J15" s="460">
        <f t="shared" si="7"/>
        <v>9.2504812259697875</v>
      </c>
      <c r="K15" s="460">
        <v>1914.4</v>
      </c>
      <c r="L15" s="460">
        <f t="shared" ref="L15:N16" si="8">K15/K$20*100</f>
        <v>8.9328542765153287</v>
      </c>
      <c r="M15" s="460">
        <v>2634.1</v>
      </c>
      <c r="N15" s="460">
        <f t="shared" si="8"/>
        <v>12.749140893470789</v>
      </c>
      <c r="O15" s="460">
        <v>2853.1</v>
      </c>
      <c r="P15" s="460">
        <f t="shared" ref="P15:R16" si="9">O15/O$20*100</f>
        <v>13.320851794960383</v>
      </c>
      <c r="Q15" s="460">
        <v>2860.5</v>
      </c>
      <c r="R15" s="460">
        <f t="shared" si="9"/>
        <v>12.362245559445093</v>
      </c>
      <c r="S15" s="460">
        <v>2829</v>
      </c>
      <c r="T15" s="460">
        <f t="shared" ref="T15:V17" si="10">S15/S$20*100</f>
        <v>11.879766184029295</v>
      </c>
      <c r="U15" s="460">
        <v>2803.1</v>
      </c>
      <c r="V15" s="460">
        <f t="shared" si="10"/>
        <v>11.511278843903099</v>
      </c>
      <c r="W15" s="460">
        <v>2662.6027964899999</v>
      </c>
      <c r="X15" s="460">
        <f t="shared" ref="X15:Z17" si="11">W15/W$20*100</f>
        <v>10.627371045533284</v>
      </c>
      <c r="Y15" s="464">
        <v>2740.9481313700007</v>
      </c>
      <c r="Z15" s="460">
        <f t="shared" si="11"/>
        <v>10.603198936062393</v>
      </c>
      <c r="AA15" s="465">
        <v>2582.04851173</v>
      </c>
      <c r="AB15" s="462">
        <f>AA15/AA$20*100</f>
        <v>9.6658874395612617</v>
      </c>
    </row>
    <row r="16" spans="2:28" ht="15.75" hidden="1">
      <c r="B16" s="463" t="s">
        <v>466</v>
      </c>
      <c r="C16" s="460">
        <v>9.6999999999999993</v>
      </c>
      <c r="D16" s="460">
        <f t="shared" si="6"/>
        <v>6.1399011286024437E-2</v>
      </c>
      <c r="E16" s="460">
        <v>0.3</v>
      </c>
      <c r="F16" s="460">
        <f t="shared" si="6"/>
        <v>1.7550222887830675E-3</v>
      </c>
      <c r="G16" s="460">
        <v>0</v>
      </c>
      <c r="H16" s="460">
        <f t="shared" si="7"/>
        <v>0</v>
      </c>
      <c r="I16" s="460">
        <v>0</v>
      </c>
      <c r="J16" s="460">
        <f t="shared" si="7"/>
        <v>0</v>
      </c>
      <c r="K16" s="460">
        <v>0</v>
      </c>
      <c r="L16" s="460">
        <f t="shared" si="8"/>
        <v>0</v>
      </c>
      <c r="M16" s="460">
        <v>0</v>
      </c>
      <c r="N16" s="460">
        <f t="shared" si="8"/>
        <v>0</v>
      </c>
      <c r="O16" s="460">
        <v>0</v>
      </c>
      <c r="P16" s="460">
        <f t="shared" si="9"/>
        <v>0</v>
      </c>
      <c r="Q16" s="460">
        <v>0</v>
      </c>
      <c r="R16" s="460">
        <f t="shared" si="9"/>
        <v>0</v>
      </c>
      <c r="S16" s="460">
        <v>0</v>
      </c>
      <c r="T16" s="460">
        <f t="shared" si="10"/>
        <v>0</v>
      </c>
      <c r="U16" s="460">
        <v>58.3</v>
      </c>
      <c r="V16" s="460">
        <f t="shared" si="10"/>
        <v>0.23941620227589119</v>
      </c>
      <c r="W16" s="460">
        <v>58.29</v>
      </c>
      <c r="X16" s="460">
        <f t="shared" si="11"/>
        <v>0.23265560265344731</v>
      </c>
      <c r="Y16" s="464">
        <v>77.599999999999994</v>
      </c>
      <c r="Z16" s="460">
        <f t="shared" si="11"/>
        <v>0.30019110103596874</v>
      </c>
      <c r="AA16" s="465">
        <v>133.87813624</v>
      </c>
      <c r="AB16" s="462">
        <f>AA16/AA$20*100</f>
        <v>0.5011722241605211</v>
      </c>
    </row>
    <row r="17" spans="2:28" ht="15.75" hidden="1">
      <c r="B17" s="463" t="s">
        <v>467</v>
      </c>
      <c r="C17" s="460"/>
      <c r="D17" s="460"/>
      <c r="E17" s="460"/>
      <c r="F17" s="460"/>
      <c r="G17" s="460"/>
      <c r="H17" s="460"/>
      <c r="I17" s="460"/>
      <c r="J17" s="460"/>
      <c r="K17" s="460"/>
      <c r="L17" s="460"/>
      <c r="M17" s="460"/>
      <c r="N17" s="460"/>
      <c r="O17" s="460"/>
      <c r="P17" s="460"/>
      <c r="Q17" s="460"/>
      <c r="R17" s="460"/>
      <c r="S17" s="460"/>
      <c r="T17" s="460"/>
      <c r="U17" s="460">
        <v>96.6</v>
      </c>
      <c r="V17" s="460">
        <f t="shared" si="10"/>
        <v>0.39669991663552467</v>
      </c>
      <c r="W17" s="460">
        <v>96.6</v>
      </c>
      <c r="X17" s="460">
        <f t="shared" si="11"/>
        <v>0.3855640970376224</v>
      </c>
      <c r="Y17" s="464">
        <v>108.29351851999999</v>
      </c>
      <c r="Z17" s="460">
        <f t="shared" si="11"/>
        <v>0.41892719793270455</v>
      </c>
      <c r="AA17" s="465">
        <v>97.974999999999994</v>
      </c>
      <c r="AB17" s="462">
        <f>AA17/AA$20*100</f>
        <v>0.36676898888181786</v>
      </c>
    </row>
    <row r="18" spans="2:28" ht="15.75" hidden="1">
      <c r="B18" s="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1"/>
      <c r="AB18" s="462"/>
    </row>
    <row r="19" spans="2:28" ht="15.75" hidden="1">
      <c r="B19" s="466" t="s">
        <v>468</v>
      </c>
      <c r="C19" s="467">
        <v>199.7</v>
      </c>
      <c r="D19" s="467">
        <f>C19/C$20*100</f>
        <v>1.2640600570947507</v>
      </c>
      <c r="E19" s="467">
        <v>175.2</v>
      </c>
      <c r="F19" s="467">
        <f>E19/E$20*100</f>
        <v>1.0249330166493114</v>
      </c>
      <c r="G19" s="467">
        <v>212.9</v>
      </c>
      <c r="H19" s="467">
        <f>G19/G$20*100</f>
        <v>1.1476655867433574</v>
      </c>
      <c r="I19" s="467">
        <v>297.8</v>
      </c>
      <c r="J19" s="467">
        <f>I19/I$20*100</f>
        <v>1.481230943700292</v>
      </c>
      <c r="K19" s="467">
        <v>560.6</v>
      </c>
      <c r="L19" s="467">
        <f>K19/K$20*100</f>
        <v>2.6158368718211937</v>
      </c>
      <c r="M19" s="467">
        <v>412.5</v>
      </c>
      <c r="N19" s="467">
        <f>M19/M$20*100</f>
        <v>1.9965151735153188</v>
      </c>
      <c r="O19" s="467">
        <v>189.14000000000001</v>
      </c>
      <c r="P19" s="467">
        <f>O19/O$20*100</f>
        <v>0.8830766213938549</v>
      </c>
      <c r="Q19" s="467">
        <v>559.4</v>
      </c>
      <c r="R19" s="467">
        <f>Q19/Q$20*100</f>
        <v>2.4175634210640045</v>
      </c>
      <c r="S19" s="467">
        <v>836.03</v>
      </c>
      <c r="T19" s="467">
        <f>S19/S$20*100</f>
        <v>3.5107249638861826</v>
      </c>
      <c r="U19" s="467">
        <v>607.4</v>
      </c>
      <c r="V19" s="467">
        <f>U19/U$20*100</f>
        <v>2.4943636580167463</v>
      </c>
      <c r="W19" s="467">
        <v>317.10000000000002</v>
      </c>
      <c r="X19" s="467">
        <f>W19/W$20*100</f>
        <v>1.265656057666978</v>
      </c>
      <c r="Y19" s="468">
        <v>772.40060247000031</v>
      </c>
      <c r="Z19" s="467">
        <f>Y19/Y$20*100</f>
        <v>2.9879869496947808</v>
      </c>
      <c r="AA19" s="469">
        <v>1015</v>
      </c>
      <c r="AB19" s="470">
        <f>AA19/AA$20*100</f>
        <v>3.7996481114064311</v>
      </c>
    </row>
    <row r="20" spans="2:28" ht="16.5" hidden="1" thickBot="1">
      <c r="B20" s="456" t="s">
        <v>469</v>
      </c>
      <c r="C20" s="471">
        <v>15798.3</v>
      </c>
      <c r="D20" s="471"/>
      <c r="E20" s="471">
        <v>17093.8</v>
      </c>
      <c r="F20" s="471"/>
      <c r="G20" s="471">
        <v>18550.7</v>
      </c>
      <c r="H20" s="471"/>
      <c r="I20" s="471">
        <v>20104.900000000001</v>
      </c>
      <c r="J20" s="471"/>
      <c r="K20" s="471">
        <v>21431</v>
      </c>
      <c r="L20" s="471"/>
      <c r="M20" s="471">
        <v>20661</v>
      </c>
      <c r="N20" s="471"/>
      <c r="O20" s="471">
        <v>21418.3</v>
      </c>
      <c r="P20" s="471"/>
      <c r="Q20" s="471">
        <v>23139</v>
      </c>
      <c r="R20" s="471"/>
      <c r="S20" s="471">
        <v>23813.599999999999</v>
      </c>
      <c r="T20" s="471"/>
      <c r="U20" s="471">
        <v>24350.9</v>
      </c>
      <c r="V20" s="471"/>
      <c r="W20" s="471">
        <v>25054.2</v>
      </c>
      <c r="X20" s="471"/>
      <c r="Y20" s="471">
        <v>25850.2</v>
      </c>
      <c r="Z20" s="471"/>
      <c r="AA20" s="472">
        <v>26713</v>
      </c>
      <c r="AB20" s="473"/>
    </row>
    <row r="21" spans="2:28" ht="15.75" hidden="1">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row>
    <row r="22" spans="2:28" ht="16.5" hidden="1" thickBot="1">
      <c r="B22" s="475" t="s">
        <v>470</v>
      </c>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row>
    <row r="23" spans="2:28" ht="15.75" hidden="1">
      <c r="B23" s="477" t="s">
        <v>471</v>
      </c>
      <c r="C23" s="478"/>
      <c r="D23" s="478"/>
      <c r="E23" s="478"/>
      <c r="F23" s="478"/>
      <c r="G23" s="478">
        <f>G24+G26</f>
        <v>90.8</v>
      </c>
      <c r="H23" s="478">
        <f t="shared" ref="H23:J27" si="12">G23/G$20*100</f>
        <v>0.48946940007654693</v>
      </c>
      <c r="I23" s="478">
        <f>I24+I26</f>
        <v>469.3</v>
      </c>
      <c r="J23" s="478">
        <f t="shared" si="12"/>
        <v>2.3342568229635563</v>
      </c>
      <c r="K23" s="478">
        <f>K24+K26</f>
        <v>885.2</v>
      </c>
      <c r="L23" s="478">
        <f t="shared" ref="L23:N27" si="13">K23/K$20*100</f>
        <v>4.1304652139424203</v>
      </c>
      <c r="M23" s="478">
        <f>M24+M26</f>
        <v>1063.0999999999999</v>
      </c>
      <c r="N23" s="478">
        <f t="shared" si="13"/>
        <v>5.1454431053676002</v>
      </c>
      <c r="O23" s="478">
        <f>O24+O26</f>
        <v>1407.3</v>
      </c>
      <c r="P23" s="478">
        <f t="shared" ref="P23:R27" si="14">O23/O$20*100</f>
        <v>6.5705494833857028</v>
      </c>
      <c r="Q23" s="478">
        <f>Q24+Q26</f>
        <v>1796.9</v>
      </c>
      <c r="R23" s="478">
        <f t="shared" si="14"/>
        <v>7.7656769955486409</v>
      </c>
      <c r="S23" s="478">
        <f>S24+S26</f>
        <v>2193.4</v>
      </c>
      <c r="T23" s="478">
        <f t="shared" ref="T23:V27" si="15">S23/S$20*100</f>
        <v>9.2107031276245515</v>
      </c>
      <c r="U23" s="478">
        <f>U24+U26</f>
        <v>2608.3000000000002</v>
      </c>
      <c r="V23" s="478">
        <f t="shared" si="15"/>
        <v>10.711308411598749</v>
      </c>
      <c r="W23" s="478">
        <f>W24+W26</f>
        <v>3040</v>
      </c>
      <c r="X23" s="478">
        <f t="shared" ref="X23:Z27" si="16">W23/W$20*100</f>
        <v>12.133694151080457</v>
      </c>
      <c r="Y23" s="478">
        <f>Y24+Y26</f>
        <v>3478.7</v>
      </c>
      <c r="Z23" s="478">
        <f t="shared" si="16"/>
        <v>13.457149267703924</v>
      </c>
      <c r="AA23" s="479">
        <f>AA24+AA25+AA26</f>
        <v>4015.9</v>
      </c>
      <c r="AB23" s="480">
        <f>AA23/AA$20*100</f>
        <v>15.033504286302549</v>
      </c>
    </row>
    <row r="24" spans="2:28" ht="15.75" hidden="1">
      <c r="B24" s="463" t="s">
        <v>472</v>
      </c>
      <c r="C24" s="460"/>
      <c r="D24" s="460"/>
      <c r="E24" s="460"/>
      <c r="F24" s="460"/>
      <c r="G24" s="460">
        <v>90.8</v>
      </c>
      <c r="H24" s="460">
        <f t="shared" si="12"/>
        <v>0.48946940007654693</v>
      </c>
      <c r="I24" s="460">
        <v>409.3</v>
      </c>
      <c r="J24" s="460">
        <f t="shared" si="12"/>
        <v>2.0358221130172249</v>
      </c>
      <c r="K24" s="460">
        <v>725.2</v>
      </c>
      <c r="L24" s="460">
        <f t="shared" si="13"/>
        <v>3.3838831599085442</v>
      </c>
      <c r="M24" s="460">
        <v>1063.0999999999999</v>
      </c>
      <c r="N24" s="460">
        <f t="shared" si="13"/>
        <v>5.1454431053676002</v>
      </c>
      <c r="O24" s="460">
        <v>1407.3</v>
      </c>
      <c r="P24" s="460">
        <f t="shared" si="14"/>
        <v>6.5705494833857028</v>
      </c>
      <c r="Q24" s="460">
        <v>1796.9</v>
      </c>
      <c r="R24" s="460">
        <f t="shared" si="14"/>
        <v>7.7656769955486409</v>
      </c>
      <c r="S24" s="460">
        <v>2193.4</v>
      </c>
      <c r="T24" s="460">
        <f t="shared" si="15"/>
        <v>9.2107031276245515</v>
      </c>
      <c r="U24" s="460">
        <v>2608.3000000000002</v>
      </c>
      <c r="V24" s="460">
        <f t="shared" si="15"/>
        <v>10.711308411598749</v>
      </c>
      <c r="W24" s="460">
        <v>3040</v>
      </c>
      <c r="X24" s="460">
        <f t="shared" si="16"/>
        <v>12.133694151080457</v>
      </c>
      <c r="Y24" s="464">
        <v>3478.7</v>
      </c>
      <c r="Z24" s="460">
        <f t="shared" si="16"/>
        <v>13.457149267703924</v>
      </c>
      <c r="AA24" s="465">
        <v>4015.9</v>
      </c>
      <c r="AB24" s="462">
        <f>AA24/AA$20*100</f>
        <v>15.033504286302549</v>
      </c>
    </row>
    <row r="25" spans="2:28" ht="15.75" hidden="1">
      <c r="B25" s="463" t="s">
        <v>568</v>
      </c>
      <c r="C25" s="460"/>
      <c r="D25" s="460"/>
      <c r="E25" s="460"/>
      <c r="F25" s="460"/>
      <c r="G25" s="460"/>
      <c r="H25" s="460"/>
      <c r="I25" s="460"/>
      <c r="J25" s="460"/>
      <c r="K25" s="460"/>
      <c r="L25" s="460"/>
      <c r="M25" s="460"/>
      <c r="N25" s="460"/>
      <c r="O25" s="460"/>
      <c r="P25" s="460"/>
      <c r="Q25" s="460"/>
      <c r="R25" s="460"/>
      <c r="S25" s="460"/>
      <c r="T25" s="460"/>
      <c r="U25" s="460"/>
      <c r="V25" s="460"/>
      <c r="W25" s="460"/>
      <c r="X25" s="460"/>
      <c r="Y25" s="464"/>
      <c r="Z25" s="460"/>
      <c r="AA25" s="465"/>
      <c r="AB25" s="462">
        <f>AA25/AA$20*100</f>
        <v>0</v>
      </c>
    </row>
    <row r="26" spans="2:28" ht="15.75" hidden="1">
      <c r="B26" s="481" t="s">
        <v>344</v>
      </c>
      <c r="C26" s="482"/>
      <c r="D26" s="482"/>
      <c r="E26" s="482"/>
      <c r="F26" s="482"/>
      <c r="G26" s="482"/>
      <c r="H26" s="482">
        <f t="shared" si="12"/>
        <v>0</v>
      </c>
      <c r="I26" s="482">
        <v>60</v>
      </c>
      <c r="J26" s="482">
        <f t="shared" si="12"/>
        <v>0.29843470994633148</v>
      </c>
      <c r="K26" s="482">
        <v>160</v>
      </c>
      <c r="L26" s="482">
        <f t="shared" si="13"/>
        <v>0.74658205403387612</v>
      </c>
      <c r="M26" s="482">
        <v>0</v>
      </c>
      <c r="N26" s="482">
        <f t="shared" si="13"/>
        <v>0</v>
      </c>
      <c r="O26" s="482">
        <v>0</v>
      </c>
      <c r="P26" s="482">
        <f t="shared" si="14"/>
        <v>0</v>
      </c>
      <c r="Q26" s="482">
        <v>0</v>
      </c>
      <c r="R26" s="482">
        <f t="shared" si="14"/>
        <v>0</v>
      </c>
      <c r="S26" s="482">
        <v>0</v>
      </c>
      <c r="T26" s="482">
        <f t="shared" si="15"/>
        <v>0</v>
      </c>
      <c r="U26" s="482">
        <v>0</v>
      </c>
      <c r="V26" s="482">
        <f t="shared" si="15"/>
        <v>0</v>
      </c>
      <c r="W26" s="482">
        <v>0</v>
      </c>
      <c r="X26" s="482">
        <f t="shared" si="16"/>
        <v>0</v>
      </c>
      <c r="Y26" s="482">
        <v>0</v>
      </c>
      <c r="Z26" s="482">
        <f t="shared" si="16"/>
        <v>0</v>
      </c>
      <c r="AA26" s="483">
        <v>0</v>
      </c>
      <c r="AB26" s="484">
        <f>AA26/AA$20*100</f>
        <v>0</v>
      </c>
    </row>
    <row r="27" spans="2:28" ht="16.5" hidden="1" thickBot="1">
      <c r="B27" s="485" t="s">
        <v>473</v>
      </c>
      <c r="C27" s="471"/>
      <c r="D27" s="471"/>
      <c r="E27" s="471"/>
      <c r="F27" s="471"/>
      <c r="G27" s="471">
        <f>G7+G23</f>
        <v>7474.9</v>
      </c>
      <c r="H27" s="471">
        <f t="shared" si="12"/>
        <v>40.294436328548244</v>
      </c>
      <c r="I27" s="471">
        <f>I7+I23</f>
        <v>7895.1</v>
      </c>
      <c r="J27" s="471">
        <f t="shared" si="12"/>
        <v>39.26953130828803</v>
      </c>
      <c r="K27" s="471">
        <f>K7+K23</f>
        <v>8769.0000000000018</v>
      </c>
      <c r="L27" s="471">
        <f t="shared" si="13"/>
        <v>40.917362698894131</v>
      </c>
      <c r="M27" s="471">
        <f>M7+M23</f>
        <v>10336.699999999999</v>
      </c>
      <c r="N27" s="471">
        <f t="shared" si="13"/>
        <v>50.030008228062528</v>
      </c>
      <c r="O27" s="471">
        <f>O7+O23</f>
        <v>11023.539999999999</v>
      </c>
      <c r="P27" s="471">
        <f t="shared" si="14"/>
        <v>51.467856926086561</v>
      </c>
      <c r="Q27" s="471">
        <f>Q7+Q23</f>
        <v>11928.8</v>
      </c>
      <c r="R27" s="471">
        <f t="shared" si="14"/>
        <v>51.552789662474609</v>
      </c>
      <c r="S27" s="471">
        <f>S7+S23</f>
        <v>13480.130000000001</v>
      </c>
      <c r="T27" s="471">
        <f t="shared" si="15"/>
        <v>56.606854906440027</v>
      </c>
      <c r="U27" s="471">
        <f>U7+U23</f>
        <v>13767.8</v>
      </c>
      <c r="V27" s="471">
        <f t="shared" si="15"/>
        <v>56.539183356672638</v>
      </c>
      <c r="W27" s="471">
        <f>W7+W23</f>
        <v>14592.595796490001</v>
      </c>
      <c r="X27" s="471">
        <f t="shared" si="16"/>
        <v>58.24410995557632</v>
      </c>
      <c r="Y27" s="471">
        <f>Y7+Y23</f>
        <v>15506.538252360002</v>
      </c>
      <c r="Z27" s="471">
        <f t="shared" si="16"/>
        <v>59.986144216911285</v>
      </c>
      <c r="AA27" s="472">
        <f>AA7+AA23</f>
        <v>16322.959647970001</v>
      </c>
      <c r="AB27" s="473">
        <f>AA27/AA$20*100</f>
        <v>61.104928865982856</v>
      </c>
    </row>
    <row r="28" spans="2:28" ht="15.75" hidden="1">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2:28" ht="15.75" hidden="1">
      <c r="B29" s="48" t="s">
        <v>474</v>
      </c>
      <c r="C29" s="4"/>
      <c r="D29" s="4"/>
      <c r="E29" s="4"/>
      <c r="F29" s="4"/>
      <c r="G29" s="4"/>
      <c r="H29" s="4"/>
      <c r="I29" s="4"/>
      <c r="J29" s="4"/>
      <c r="K29" s="4"/>
      <c r="L29" s="4"/>
      <c r="M29" s="4"/>
      <c r="N29" s="4"/>
      <c r="O29" s="4"/>
      <c r="P29" s="4"/>
      <c r="Q29" s="4"/>
      <c r="R29" s="4"/>
      <c r="S29" s="4"/>
      <c r="T29" s="4"/>
      <c r="U29" s="4"/>
      <c r="V29" s="4"/>
      <c r="W29" s="4"/>
      <c r="X29" s="4"/>
      <c r="Y29" s="4"/>
      <c r="Z29" s="4"/>
    </row>
    <row r="30" spans="2:28" ht="15.75" hidden="1">
      <c r="B30" s="48" t="s">
        <v>475</v>
      </c>
      <c r="C30" s="4"/>
      <c r="D30" s="4"/>
      <c r="E30" s="4"/>
      <c r="F30" s="4"/>
      <c r="G30" s="4"/>
      <c r="H30" s="4"/>
      <c r="I30" s="4"/>
      <c r="J30" s="4"/>
      <c r="K30" s="4"/>
      <c r="L30" s="4"/>
      <c r="M30" s="4"/>
      <c r="N30" s="4"/>
      <c r="O30" s="4"/>
      <c r="P30" s="4"/>
      <c r="Q30" s="4"/>
      <c r="R30" s="4"/>
      <c r="S30" s="4"/>
      <c r="T30" s="4"/>
      <c r="U30" s="4"/>
      <c r="V30" s="4"/>
      <c r="W30" s="4"/>
      <c r="X30" s="4"/>
      <c r="Y30" s="4"/>
      <c r="Z30" s="4"/>
    </row>
    <row r="31" spans="2:28" ht="15.75" hidden="1">
      <c r="B31" s="48" t="s">
        <v>476</v>
      </c>
      <c r="C31" s="4"/>
      <c r="D31" s="4"/>
      <c r="E31" s="4"/>
      <c r="F31" s="4"/>
      <c r="G31" s="4"/>
      <c r="H31" s="4"/>
      <c r="I31" s="4"/>
      <c r="J31" s="4"/>
      <c r="K31" s="4"/>
      <c r="L31" s="4"/>
      <c r="M31" s="4"/>
      <c r="N31" s="4"/>
      <c r="O31" s="4"/>
      <c r="P31" s="4"/>
      <c r="Q31" s="4"/>
      <c r="R31" s="4"/>
      <c r="S31" s="4"/>
      <c r="T31" s="4"/>
      <c r="U31" s="4"/>
      <c r="V31" s="4"/>
      <c r="W31" s="4"/>
      <c r="X31" s="4"/>
      <c r="Y31" s="4"/>
      <c r="Z31" s="4"/>
    </row>
    <row r="32" spans="2:28" ht="15.75" hidden="1">
      <c r="B32" s="48" t="s">
        <v>477</v>
      </c>
      <c r="C32" s="4"/>
      <c r="D32" s="4"/>
      <c r="E32" s="4"/>
      <c r="F32" s="4"/>
      <c r="G32" s="4"/>
      <c r="H32" s="4"/>
      <c r="I32" s="4"/>
      <c r="J32" s="4"/>
      <c r="K32" s="4"/>
      <c r="L32" s="4"/>
      <c r="M32" s="4"/>
      <c r="N32" s="4"/>
      <c r="O32" s="4"/>
      <c r="P32" s="4"/>
      <c r="Q32" s="4"/>
      <c r="R32" s="4"/>
      <c r="S32" s="4"/>
      <c r="T32" s="4"/>
      <c r="U32" s="4"/>
      <c r="V32" s="4"/>
      <c r="W32" s="4"/>
      <c r="X32" s="4"/>
      <c r="Y32" s="4"/>
      <c r="Z32" s="4"/>
    </row>
    <row r="33" spans="1:34" ht="15.75">
      <c r="B33" s="4"/>
      <c r="C33" s="4"/>
      <c r="D33" s="4"/>
      <c r="E33" s="4"/>
      <c r="F33" s="4"/>
      <c r="G33" s="4"/>
      <c r="H33" s="4"/>
      <c r="I33" s="4"/>
      <c r="J33" s="4"/>
      <c r="K33" s="4"/>
      <c r="L33" s="4"/>
      <c r="M33" s="4"/>
      <c r="N33" s="4"/>
      <c r="O33" s="4"/>
      <c r="P33" s="4"/>
      <c r="Q33" s="4"/>
      <c r="R33" s="4"/>
      <c r="S33" s="4"/>
      <c r="T33" s="4"/>
      <c r="U33" s="4"/>
      <c r="V33" s="4"/>
      <c r="W33" s="4"/>
      <c r="X33" s="4"/>
      <c r="Y33" s="4"/>
      <c r="Z33" s="4"/>
      <c r="AA33" s="4"/>
    </row>
    <row r="35" spans="1:34">
      <c r="A35" s="6"/>
      <c r="B35" s="6"/>
      <c r="C35" s="6"/>
      <c r="D35" s="6"/>
      <c r="E35" s="6"/>
      <c r="F35" s="6"/>
      <c r="G35" s="6"/>
    </row>
    <row r="36" spans="1:34">
      <c r="A36" s="6"/>
      <c r="B36" s="606" t="s">
        <v>614</v>
      </c>
      <c r="C36" s="6"/>
      <c r="D36" s="6"/>
      <c r="E36" s="6"/>
      <c r="F36" s="6"/>
      <c r="G36" s="6"/>
    </row>
    <row r="39" spans="1:34" ht="15.75">
      <c r="B39" s="56" t="s">
        <v>456</v>
      </c>
    </row>
    <row r="40" spans="1:34" ht="15.75">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34" ht="16.5" thickBot="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30.95" customHeight="1">
      <c r="B42" s="452" t="s">
        <v>457</v>
      </c>
      <c r="C42" s="453">
        <v>2004</v>
      </c>
      <c r="D42" s="453" t="s">
        <v>458</v>
      </c>
      <c r="E42" s="453">
        <v>2005</v>
      </c>
      <c r="F42" s="453" t="s">
        <v>458</v>
      </c>
      <c r="G42" s="453">
        <v>2006</v>
      </c>
      <c r="H42" s="453" t="s">
        <v>458</v>
      </c>
      <c r="I42" s="453">
        <v>2007</v>
      </c>
      <c r="J42" s="453" t="s">
        <v>458</v>
      </c>
      <c r="K42" s="453">
        <v>2008</v>
      </c>
      <c r="L42" s="453" t="s">
        <v>458</v>
      </c>
      <c r="M42" s="453">
        <v>2009</v>
      </c>
      <c r="N42" s="453" t="s">
        <v>458</v>
      </c>
      <c r="O42" s="453">
        <v>2010</v>
      </c>
      <c r="P42" s="453" t="s">
        <v>458</v>
      </c>
      <c r="Q42" s="453">
        <v>2011</v>
      </c>
      <c r="R42" s="453" t="s">
        <v>458</v>
      </c>
      <c r="S42" s="453">
        <v>2012</v>
      </c>
      <c r="T42" s="453" t="s">
        <v>458</v>
      </c>
      <c r="U42" s="453">
        <v>2013</v>
      </c>
      <c r="V42" s="453" t="s">
        <v>458</v>
      </c>
      <c r="W42" s="453">
        <v>2014</v>
      </c>
      <c r="X42" s="453" t="s">
        <v>458</v>
      </c>
      <c r="Y42" s="453">
        <v>2015</v>
      </c>
      <c r="Z42" s="453" t="s">
        <v>458</v>
      </c>
      <c r="AA42" s="454">
        <v>2016</v>
      </c>
      <c r="AB42" s="453" t="s">
        <v>458</v>
      </c>
      <c r="AC42" s="454">
        <v>2017</v>
      </c>
      <c r="AD42" s="453" t="s">
        <v>458</v>
      </c>
      <c r="AE42" s="454">
        <v>2018</v>
      </c>
      <c r="AF42" s="742" t="s">
        <v>458</v>
      </c>
      <c r="AG42" s="453" t="s">
        <v>773</v>
      </c>
      <c r="AH42" s="455" t="s">
        <v>458</v>
      </c>
    </row>
    <row r="43" spans="1:34" ht="21" customHeight="1">
      <c r="B43" s="456" t="s">
        <v>615</v>
      </c>
      <c r="C43" s="457">
        <f>+C45+C50</f>
        <v>6404.2999999999993</v>
      </c>
      <c r="D43" s="457">
        <f>C43/C$58*100</f>
        <v>46.662212445928205</v>
      </c>
      <c r="E43" s="457">
        <f>+E45+E50</f>
        <v>6756.9</v>
      </c>
      <c r="F43" s="457">
        <f>E43/E$58*100</f>
        <v>45.971560756565516</v>
      </c>
      <c r="G43" s="457">
        <f>+G45+G50</f>
        <v>7384.1</v>
      </c>
      <c r="H43" s="457">
        <f>G43/G$58*100</f>
        <v>46.150942287728228</v>
      </c>
      <c r="I43" s="457">
        <f>+I45+I50+I57</f>
        <v>7425.7999999999993</v>
      </c>
      <c r="J43" s="457">
        <f>I43/I$58*100</f>
        <v>43.65100592237718</v>
      </c>
      <c r="K43" s="457">
        <f>+K45+K50+K57</f>
        <v>7883.8</v>
      </c>
      <c r="L43" s="457">
        <f>K43/K$58*100</f>
        <v>43.830812330536304</v>
      </c>
      <c r="M43" s="457">
        <f>+M45+M50+M57</f>
        <v>9273.5999999999985</v>
      </c>
      <c r="N43" s="457">
        <f>M43/M$58*100</f>
        <v>52.686059578606958</v>
      </c>
      <c r="O43" s="457">
        <f>+O45+O50+O57</f>
        <v>9616.24</v>
      </c>
      <c r="P43" s="457">
        <f>O43/O$58*100</f>
        <v>52.126418588111832</v>
      </c>
      <c r="Q43" s="457">
        <f>+Q45+Q50+Q57</f>
        <v>10131.9</v>
      </c>
      <c r="R43" s="457">
        <f>Q43/Q$58*100</f>
        <v>49.950748824923167</v>
      </c>
      <c r="S43" s="457">
        <f>+S45+S50+S57</f>
        <v>11286.73</v>
      </c>
      <c r="T43" s="457">
        <f>S43/S$58*100</f>
        <v>52.77588532765364</v>
      </c>
      <c r="U43" s="457">
        <f>+U45+U50+U57</f>
        <v>11159.5</v>
      </c>
      <c r="V43" s="457">
        <f>U43/U$58*100</f>
        <v>50.745851931884744</v>
      </c>
      <c r="W43" s="457">
        <f>+W45+W50+W57</f>
        <v>11552.595796490001</v>
      </c>
      <c r="X43" s="457">
        <f>W43/W$58*100</f>
        <v>51.132454627332592</v>
      </c>
      <c r="Y43" s="457">
        <f>+Y45+Y50+Y57</f>
        <v>12027.838252360001</v>
      </c>
      <c r="Z43" s="457">
        <f>Y43/Y$58*100</f>
        <v>51.31715628972141</v>
      </c>
      <c r="AA43" s="458">
        <f>+AA45+AA50+AA57</f>
        <v>12307.059647970002</v>
      </c>
      <c r="AB43" s="457">
        <f>AA43/AA$58*100</f>
        <v>50.952238140713945</v>
      </c>
      <c r="AC43" s="458">
        <f>+AC45+AC50+AC57</f>
        <v>12717.182645460001</v>
      </c>
      <c r="AD43" s="457">
        <f>AC43/AC$58*100</f>
        <v>51.015717065850133</v>
      </c>
      <c r="AE43" s="458">
        <f>+AE45+AE50+AE57</f>
        <v>13162.694728559998</v>
      </c>
      <c r="AF43" s="743">
        <f>AE43/AE$58*100</f>
        <v>50.515120841357422</v>
      </c>
      <c r="AG43" s="457">
        <f>+AG45+AG50+AG57</f>
        <v>13305.823079900001</v>
      </c>
      <c r="AH43" s="459">
        <f>AG43/AG$58*100</f>
        <v>49.565922062455535</v>
      </c>
    </row>
    <row r="44" spans="1:34" ht="15.75">
      <c r="B44" s="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1"/>
      <c r="AB44" s="460"/>
      <c r="AC44" s="461"/>
      <c r="AD44" s="460"/>
      <c r="AE44" s="461"/>
      <c r="AF44" s="744"/>
      <c r="AG44" s="460"/>
      <c r="AH44" s="462"/>
    </row>
    <row r="45" spans="1:34" ht="21" customHeight="1">
      <c r="B45" s="456" t="s">
        <v>460</v>
      </c>
      <c r="C45" s="457">
        <f>+C46+C47+C48</f>
        <v>4404.4999999999991</v>
      </c>
      <c r="D45" s="457">
        <f>C45/C$58*100</f>
        <v>32.09151893541695</v>
      </c>
      <c r="E45" s="457">
        <f>+E46+E47+E48</f>
        <v>4606</v>
      </c>
      <c r="F45" s="457">
        <f>E45/E$58*100</f>
        <v>31.337596951966251</v>
      </c>
      <c r="G45" s="457">
        <f>+G46+G47+G48</f>
        <v>5381</v>
      </c>
      <c r="H45" s="457">
        <f>G45/G$58*100</f>
        <v>33.631481216433365</v>
      </c>
      <c r="I45" s="457">
        <f>+I46+I47+I48</f>
        <v>5268.2</v>
      </c>
      <c r="J45" s="457">
        <f>I45/I$58*100</f>
        <v>30.968007406645405</v>
      </c>
      <c r="K45" s="457">
        <f>+K46+K47+K48</f>
        <v>5408.8</v>
      </c>
      <c r="L45" s="457">
        <f>K45/K$58*100</f>
        <v>30.070790447931799</v>
      </c>
      <c r="M45" s="457">
        <f>+M46+M47+M48</f>
        <v>6226.9999999999991</v>
      </c>
      <c r="N45" s="457">
        <f>M45/M$58*100</f>
        <v>35.377425486972221</v>
      </c>
      <c r="O45" s="457">
        <f>+O46+O47+O48</f>
        <v>6574</v>
      </c>
      <c r="P45" s="457">
        <f>O45/O$58*100</f>
        <v>35.635453753051834</v>
      </c>
      <c r="Q45" s="457">
        <f>+Q46+Q47+Q48</f>
        <v>6712</v>
      </c>
      <c r="R45" s="457">
        <f>Q45/Q$58*100</f>
        <v>33.090479190762281</v>
      </c>
      <c r="S45" s="457">
        <f>+S46+S47+S48</f>
        <v>7621.7000000000007</v>
      </c>
      <c r="T45" s="457">
        <f>S45/S$58*100</f>
        <v>35.638485655435879</v>
      </c>
      <c r="U45" s="457">
        <f>+U46+U47+U48</f>
        <v>7594.1</v>
      </c>
      <c r="V45" s="457">
        <f>U45/U$58*100</f>
        <v>34.532826215863253</v>
      </c>
      <c r="W45" s="457">
        <f>+W46+W47+W48</f>
        <v>8418.0030000000006</v>
      </c>
      <c r="X45" s="457">
        <f>W45/W$58*100</f>
        <v>37.258566302564418</v>
      </c>
      <c r="Y45" s="457">
        <f>+Y46+Y47+Y48</f>
        <v>8328.5959999999995</v>
      </c>
      <c r="Z45" s="457">
        <f>Y45/Y$58*100</f>
        <v>35.534220999528969</v>
      </c>
      <c r="AA45" s="458">
        <f>+AA46+AA47+AA48</f>
        <v>8478.1580000000013</v>
      </c>
      <c r="AB45" s="457">
        <f>AA45/AA$58*100</f>
        <v>35.100270719972713</v>
      </c>
      <c r="AC45" s="458">
        <f>+AC46+AC47+AC48</f>
        <v>9193.4900000000016</v>
      </c>
      <c r="AD45" s="457">
        <f>AC45/AC$58*100</f>
        <v>36.880219287812047</v>
      </c>
      <c r="AE45" s="458">
        <f>+AE46+AE47+AE48</f>
        <v>9216.9819999999982</v>
      </c>
      <c r="AF45" s="743">
        <f>AE45/AE$58*100</f>
        <v>35.372465070725873</v>
      </c>
      <c r="AG45" s="457">
        <f>+AG46+AG47+AG48</f>
        <v>9239.5159999999996</v>
      </c>
      <c r="AH45" s="459">
        <f>AG45/AG$58*100</f>
        <v>34.418399162590752</v>
      </c>
    </row>
    <row r="46" spans="1:34" ht="15.75">
      <c r="B46" s="463" t="s">
        <v>461</v>
      </c>
      <c r="C46" s="460">
        <v>4221.8999999999996</v>
      </c>
      <c r="D46" s="460">
        <f t="shared" ref="D46:F54" si="17">C46/C$58*100</f>
        <v>30.761081574171151</v>
      </c>
      <c r="E46" s="460">
        <v>4432.6000000000004</v>
      </c>
      <c r="F46" s="460">
        <f t="shared" si="17"/>
        <v>30.157844604708128</v>
      </c>
      <c r="G46" s="460">
        <v>5153</v>
      </c>
      <c r="H46" s="460">
        <f t="shared" ref="H46:J46" si="18">G46/G$58*100</f>
        <v>32.20647141949101</v>
      </c>
      <c r="I46" s="460">
        <v>5013.3</v>
      </c>
      <c r="J46" s="460">
        <f t="shared" si="18"/>
        <v>29.469631284259414</v>
      </c>
      <c r="K46" s="460">
        <v>5039</v>
      </c>
      <c r="L46" s="460">
        <f t="shared" ref="L46:N46" si="19">K46/K$58*100</f>
        <v>28.014848592502652</v>
      </c>
      <c r="M46" s="460">
        <v>5784.7999999999993</v>
      </c>
      <c r="N46" s="460">
        <f t="shared" si="19"/>
        <v>32.865156729891901</v>
      </c>
      <c r="O46" s="460">
        <v>6102.2</v>
      </c>
      <c r="P46" s="460">
        <f t="shared" ref="P46:R46" si="20">O46/O$58*100</f>
        <v>33.077983859426972</v>
      </c>
      <c r="Q46" s="460">
        <v>6254.9</v>
      </c>
      <c r="R46" s="460">
        <f t="shared" si="20"/>
        <v>30.836954453262656</v>
      </c>
      <c r="S46" s="460">
        <v>7198.3</v>
      </c>
      <c r="T46" s="460">
        <f t="shared" ref="T46:V46" si="21">S46/S$58*100</f>
        <v>33.658699672451561</v>
      </c>
      <c r="U46" s="460">
        <v>7187.3</v>
      </c>
      <c r="V46" s="460">
        <f t="shared" si="21"/>
        <v>32.682975186167404</v>
      </c>
      <c r="W46" s="460">
        <v>8034.3030000000008</v>
      </c>
      <c r="X46" s="460">
        <f t="shared" ref="X46:Z46" si="22">W46/W$58*100</f>
        <v>35.560287994717058</v>
      </c>
      <c r="Y46" s="460">
        <v>7907.2960000000003</v>
      </c>
      <c r="Z46" s="460">
        <f t="shared" si="22"/>
        <v>33.736731085610522</v>
      </c>
      <c r="AA46" s="461">
        <v>8009.0580000000009</v>
      </c>
      <c r="AB46" s="460">
        <f t="shared" ref="AB46" si="23">AA46/AA$58*100</f>
        <v>33.158158176807177</v>
      </c>
      <c r="AC46" s="465">
        <v>8576.69</v>
      </c>
      <c r="AD46" s="460">
        <f t="shared" ref="AD46:AD48" si="24">AC46/AC$58*100</f>
        <v>34.405890250991156</v>
      </c>
      <c r="AE46" s="465">
        <v>8606.3819999999996</v>
      </c>
      <c r="AF46" s="744">
        <f t="shared" ref="AF46:AF48" si="25">AE46/AE$58*100</f>
        <v>33.029135424190251</v>
      </c>
      <c r="AG46" s="464">
        <v>8651.0159999999996</v>
      </c>
      <c r="AH46" s="462">
        <f t="shared" ref="AH46:AH48" si="26">AG46/AG$58*100</f>
        <v>32.226160098641444</v>
      </c>
    </row>
    <row r="47" spans="1:34" ht="18">
      <c r="B47" s="463" t="s">
        <v>462</v>
      </c>
      <c r="C47" s="460">
        <v>178.9</v>
      </c>
      <c r="D47" s="460">
        <f t="shared" si="17"/>
        <v>1.3034788824034722</v>
      </c>
      <c r="E47" s="460">
        <v>167.4</v>
      </c>
      <c r="F47" s="460">
        <f t="shared" si="17"/>
        <v>1.1389304667301674</v>
      </c>
      <c r="G47" s="460">
        <v>221.7</v>
      </c>
      <c r="H47" s="460">
        <f t="shared" ref="H47:J47" si="27">G47/G$58*100</f>
        <v>1.3856345262373679</v>
      </c>
      <c r="I47" s="460">
        <v>249</v>
      </c>
      <c r="J47" s="460">
        <f t="shared" si="27"/>
        <v>1.4636942113539171</v>
      </c>
      <c r="K47" s="460">
        <v>356.6</v>
      </c>
      <c r="L47" s="460">
        <f t="shared" ref="L47:N47" si="28">K47/K$58*100</f>
        <v>1.9825550720552583</v>
      </c>
      <c r="M47" s="460">
        <v>375.9</v>
      </c>
      <c r="N47" s="460">
        <f t="shared" si="28"/>
        <v>2.1355988823755996</v>
      </c>
      <c r="O47" s="460">
        <v>386.3</v>
      </c>
      <c r="P47" s="460">
        <f t="shared" ref="P47:R47" si="29">O47/O$58*100</f>
        <v>2.094003009553381</v>
      </c>
      <c r="Q47" s="460">
        <v>367.6</v>
      </c>
      <c r="R47" s="460">
        <f t="shared" si="29"/>
        <v>1.8122854813057527</v>
      </c>
      <c r="S47" s="460">
        <v>334.1</v>
      </c>
      <c r="T47" s="460">
        <f t="shared" ref="T47:V47" si="30">S47/S$58*100</f>
        <v>1.5622260201111466</v>
      </c>
      <c r="U47" s="460">
        <v>313.2</v>
      </c>
      <c r="V47" s="460">
        <f t="shared" si="30"/>
        <v>1.4242215892348493</v>
      </c>
      <c r="W47" s="460">
        <v>291.10000000000002</v>
      </c>
      <c r="X47" s="460">
        <f t="shared" ref="X47:Z47" si="31">W47/W$58*100</f>
        <v>1.2884253724638137</v>
      </c>
      <c r="Y47" s="464">
        <v>326.5</v>
      </c>
      <c r="Z47" s="460">
        <f t="shared" si="31"/>
        <v>1.3930226842971143</v>
      </c>
      <c r="AA47" s="465">
        <v>375</v>
      </c>
      <c r="AB47" s="460">
        <f t="shared" ref="AB47" si="32">AA47/AA$58*100</f>
        <v>1.5525308115264855</v>
      </c>
      <c r="AC47" s="465">
        <v>528.10000000000014</v>
      </c>
      <c r="AD47" s="460">
        <f t="shared" si="24"/>
        <v>2.1185038332443442</v>
      </c>
      <c r="AE47" s="465">
        <v>529.29999999999995</v>
      </c>
      <c r="AF47" s="744">
        <f t="shared" si="25"/>
        <v>2.0313206385707607</v>
      </c>
      <c r="AG47" s="464">
        <v>511</v>
      </c>
      <c r="AH47" s="462">
        <f t="shared" si="26"/>
        <v>1.9035414811862303</v>
      </c>
    </row>
    <row r="48" spans="1:34" ht="18">
      <c r="B48" s="463" t="s">
        <v>463</v>
      </c>
      <c r="C48" s="460">
        <v>3.7</v>
      </c>
      <c r="D48" s="460">
        <f t="shared" si="17"/>
        <v>2.6958478842330061E-2</v>
      </c>
      <c r="E48" s="460">
        <v>6</v>
      </c>
      <c r="F48" s="460">
        <f t="shared" si="17"/>
        <v>4.0821880527962991E-2</v>
      </c>
      <c r="G48" s="460">
        <v>6.3</v>
      </c>
      <c r="H48" s="460">
        <f t="shared" ref="H48:J48" si="33">G48/G$58*100</f>
        <v>3.9375270704986094E-2</v>
      </c>
      <c r="I48" s="460">
        <v>5.9</v>
      </c>
      <c r="J48" s="460">
        <f t="shared" si="33"/>
        <v>3.4681911032080771E-2</v>
      </c>
      <c r="K48" s="460">
        <v>13.2</v>
      </c>
      <c r="L48" s="460">
        <f t="shared" ref="L48:N48" si="34">K48/K$58*100</f>
        <v>7.3386783373890652E-2</v>
      </c>
      <c r="M48" s="460">
        <v>66.3</v>
      </c>
      <c r="N48" s="460">
        <f t="shared" si="34"/>
        <v>0.37666987470471469</v>
      </c>
      <c r="O48" s="460">
        <v>85.5</v>
      </c>
      <c r="P48" s="460">
        <f t="shared" ref="P48:R48" si="35">O48/O$58*100</f>
        <v>0.46346688407148345</v>
      </c>
      <c r="Q48" s="460">
        <v>89.5</v>
      </c>
      <c r="R48" s="460">
        <f t="shared" si="35"/>
        <v>0.44123925619386528</v>
      </c>
      <c r="S48" s="460">
        <v>89.3</v>
      </c>
      <c r="T48" s="460">
        <f t="shared" ref="T48:V48" si="36">S48/S$58*100</f>
        <v>0.41755996287316788</v>
      </c>
      <c r="U48" s="460">
        <v>93.6</v>
      </c>
      <c r="V48" s="460">
        <f t="shared" si="36"/>
        <v>0.42562944046098938</v>
      </c>
      <c r="W48" s="460">
        <v>92.6</v>
      </c>
      <c r="X48" s="460">
        <f t="shared" ref="X48:Z48" si="37">W48/W$58*100</f>
        <v>0.40985293538354217</v>
      </c>
      <c r="Y48" s="464">
        <v>94.8</v>
      </c>
      <c r="Z48" s="460">
        <f t="shared" si="37"/>
        <v>0.40446722962133674</v>
      </c>
      <c r="AA48" s="465">
        <v>94.1</v>
      </c>
      <c r="AB48" s="460">
        <f t="shared" ref="AB48" si="38">AA48/AA$58*100</f>
        <v>0.38958173163904608</v>
      </c>
      <c r="AC48" s="465">
        <v>88.7</v>
      </c>
      <c r="AD48" s="460">
        <f t="shared" si="24"/>
        <v>0.35582520357654474</v>
      </c>
      <c r="AE48" s="465">
        <v>81.300000000000011</v>
      </c>
      <c r="AF48" s="744">
        <f t="shared" si="25"/>
        <v>0.31200900796486469</v>
      </c>
      <c r="AG48" s="464">
        <v>77.5</v>
      </c>
      <c r="AH48" s="462">
        <f t="shared" si="26"/>
        <v>0.288697582763078</v>
      </c>
    </row>
    <row r="49" spans="2:34" ht="15.75">
      <c r="B49" s="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1"/>
      <c r="AB49" s="460"/>
      <c r="AC49" s="461"/>
      <c r="AD49" s="460"/>
      <c r="AE49" s="465"/>
      <c r="AF49" s="744"/>
      <c r="AG49" s="464"/>
      <c r="AH49" s="462"/>
    </row>
    <row r="50" spans="2:34" ht="21" customHeight="1">
      <c r="B50" s="456" t="s">
        <v>616</v>
      </c>
      <c r="C50" s="457">
        <f>+C51+C52+C54+C55</f>
        <v>1999.8000000000002</v>
      </c>
      <c r="D50" s="457">
        <f t="shared" si="17"/>
        <v>14.57069351051126</v>
      </c>
      <c r="E50" s="457">
        <f>+E51+E52+E54+E55</f>
        <v>2150.9</v>
      </c>
      <c r="F50" s="457">
        <f t="shared" si="17"/>
        <v>14.633963804599265</v>
      </c>
      <c r="G50" s="457">
        <f>+G51+G52+G54+G55</f>
        <v>2003.1000000000001</v>
      </c>
      <c r="H50" s="457">
        <f t="shared" ref="H50:J50" si="39">G50/G$58*100</f>
        <v>12.519461071294865</v>
      </c>
      <c r="I50" s="457">
        <f>+I51+I52+I54+I55</f>
        <v>2157.6</v>
      </c>
      <c r="J50" s="457">
        <f t="shared" si="39"/>
        <v>12.682998515731772</v>
      </c>
      <c r="K50" s="457">
        <f>+K51+K52+K54+K55</f>
        <v>2475</v>
      </c>
      <c r="L50" s="457">
        <f t="shared" ref="L50:N50" si="40">K50/K$58*100</f>
        <v>13.760021882604498</v>
      </c>
      <c r="M50" s="457">
        <f>+M51+M52+M54+M55</f>
        <v>3046.6</v>
      </c>
      <c r="N50" s="457">
        <f t="shared" si="40"/>
        <v>17.308634091634747</v>
      </c>
      <c r="O50" s="457">
        <f>+O51+O52+O54+O55</f>
        <v>3042.24</v>
      </c>
      <c r="P50" s="457">
        <f t="shared" ref="P50:R50" si="41">O50/O$58*100</f>
        <v>16.490964835059994</v>
      </c>
      <c r="Q50" s="457">
        <f>+Q51+Q52+Q54+Q55</f>
        <v>3419.9</v>
      </c>
      <c r="R50" s="457">
        <f t="shared" si="41"/>
        <v>16.860269634160893</v>
      </c>
      <c r="S50" s="457">
        <f>+S51+S52+S54+S55</f>
        <v>3665.0299999999997</v>
      </c>
      <c r="T50" s="457">
        <f t="shared" ref="T50:V50" si="42">S50/S$58*100</f>
        <v>17.137399672217764</v>
      </c>
      <c r="U50" s="457">
        <f>+U51+U52+U54+U55</f>
        <v>3565.4</v>
      </c>
      <c r="V50" s="457">
        <f t="shared" si="42"/>
        <v>16.213025716021491</v>
      </c>
      <c r="W50" s="457">
        <f>+W51+W52+W54+W55</f>
        <v>3134.5927964899997</v>
      </c>
      <c r="X50" s="457">
        <f t="shared" ref="X50:Z50" si="43">W50/W$58*100</f>
        <v>13.873888324768172</v>
      </c>
      <c r="Y50" s="457">
        <f>+Y51+Y52+Y54+Y55</f>
        <v>3699.2422523600007</v>
      </c>
      <c r="Z50" s="457">
        <f t="shared" si="43"/>
        <v>15.782935290192441</v>
      </c>
      <c r="AA50" s="457">
        <f>+AA51+AA52+AA54+AA55</f>
        <v>3828.9016479699999</v>
      </c>
      <c r="AB50" s="457">
        <f t="shared" ref="AB50" si="44">AA50/AA$58*100</f>
        <v>15.85196742074123</v>
      </c>
      <c r="AC50" s="458">
        <f>+AC51+AC52+AC54+AC55</f>
        <v>3523.6926454600002</v>
      </c>
      <c r="AD50" s="457">
        <f t="shared" ref="AD50:AD55" si="45">AC50/AC$58*100</f>
        <v>14.135497778038083</v>
      </c>
      <c r="AE50" s="458">
        <f>+AE51+AE52+AE54+AE55</f>
        <v>3945.7127285600004</v>
      </c>
      <c r="AF50" s="743">
        <f t="shared" ref="AF50:AF55" si="46">AE50/AE$58*100</f>
        <v>15.142655770631549</v>
      </c>
      <c r="AG50" s="457">
        <f>+AG51+AG52+AG53+AG54+AG55</f>
        <v>4066.3070799000006</v>
      </c>
      <c r="AH50" s="459">
        <f t="shared" ref="AH50:AH55" si="47">AG50/AG$58*100</f>
        <v>15.147522899864779</v>
      </c>
    </row>
    <row r="51" spans="2:34" ht="15.75">
      <c r="B51" s="463" t="s">
        <v>465</v>
      </c>
      <c r="C51" s="460">
        <v>1790.4</v>
      </c>
      <c r="D51" s="460">
        <f t="shared" si="17"/>
        <v>13.044989329542634</v>
      </c>
      <c r="E51" s="460">
        <v>1975.4</v>
      </c>
      <c r="F51" s="460">
        <f t="shared" si="17"/>
        <v>13.439923799156347</v>
      </c>
      <c r="G51" s="460">
        <v>1790.2</v>
      </c>
      <c r="H51" s="460">
        <f t="shared" ref="H51:J51" si="48">G51/G$58*100</f>
        <v>11.188826923185099</v>
      </c>
      <c r="I51" s="460">
        <v>1859.8</v>
      </c>
      <c r="J51" s="460">
        <f t="shared" si="48"/>
        <v>10.93244375211251</v>
      </c>
      <c r="K51" s="460">
        <v>1914.4</v>
      </c>
      <c r="L51" s="460">
        <f t="shared" ref="L51:N51" si="49">K51/K$58*100</f>
        <v>10.643307431134566</v>
      </c>
      <c r="M51" s="460">
        <v>2634.1</v>
      </c>
      <c r="N51" s="460">
        <f t="shared" si="49"/>
        <v>14.965099803313558</v>
      </c>
      <c r="O51" s="460">
        <v>2853.1</v>
      </c>
      <c r="P51" s="460">
        <f t="shared" ref="P51:R51" si="50">O51/O$58*100</f>
        <v>15.465700198179524</v>
      </c>
      <c r="Q51" s="460">
        <v>2860.5</v>
      </c>
      <c r="R51" s="460">
        <f t="shared" si="50"/>
        <v>14.102401031760353</v>
      </c>
      <c r="S51" s="460">
        <v>2829</v>
      </c>
      <c r="T51" s="460">
        <f t="shared" ref="T51:V51" si="51">S51/S$58*100</f>
        <v>13.228187401659483</v>
      </c>
      <c r="U51" s="460">
        <v>2803.1</v>
      </c>
      <c r="V51" s="460">
        <f t="shared" si="51"/>
        <v>12.746601330728627</v>
      </c>
      <c r="W51" s="460">
        <v>2662.6027964899999</v>
      </c>
      <c r="X51" s="460">
        <f t="shared" ref="X51:Z51" si="52">W51/W$58*100</f>
        <v>11.784833389868842</v>
      </c>
      <c r="Y51" s="464">
        <v>2740.9481313700007</v>
      </c>
      <c r="Z51" s="460">
        <f t="shared" si="52"/>
        <v>11.6943427977954</v>
      </c>
      <c r="AA51" s="465">
        <v>2582.04851173</v>
      </c>
      <c r="AB51" s="460">
        <f t="shared" ref="AB51" si="53">AA51/AA$58*100</f>
        <v>10.689892990178484</v>
      </c>
      <c r="AC51" s="465">
        <v>2524.6863819999999</v>
      </c>
      <c r="AD51" s="460">
        <f t="shared" si="45"/>
        <v>10.127926108704397</v>
      </c>
      <c r="AE51" s="465">
        <v>2864.2892662400009</v>
      </c>
      <c r="AF51" s="744">
        <f t="shared" si="46"/>
        <v>10.992423769790317</v>
      </c>
      <c r="AG51" s="464">
        <v>2740.8169102000011</v>
      </c>
      <c r="AH51" s="462">
        <f t="shared" si="47"/>
        <v>10.20989957123753</v>
      </c>
    </row>
    <row r="52" spans="2:34" ht="15.75">
      <c r="B52" s="463" t="s">
        <v>848</v>
      </c>
      <c r="C52" s="460">
        <v>199.7</v>
      </c>
      <c r="D52" s="460">
        <f t="shared" si="17"/>
        <v>1.4550292499495439</v>
      </c>
      <c r="E52" s="460">
        <v>175.2</v>
      </c>
      <c r="F52" s="460">
        <f t="shared" si="17"/>
        <v>1.1919989114165193</v>
      </c>
      <c r="G52" s="460">
        <v>212.9</v>
      </c>
      <c r="H52" s="460">
        <f t="shared" ref="H52:J52" si="54">G52/G$58*100</f>
        <v>1.3306341481097683</v>
      </c>
      <c r="I52" s="460">
        <v>297.8</v>
      </c>
      <c r="J52" s="460">
        <f t="shared" si="54"/>
        <v>1.7505547636192633</v>
      </c>
      <c r="K52" s="460">
        <v>560.6</v>
      </c>
      <c r="L52" s="460">
        <f t="shared" ref="L52:N52" si="55">K52/K$58*100</f>
        <v>3.1167144514699316</v>
      </c>
      <c r="M52" s="460">
        <v>412.5</v>
      </c>
      <c r="N52" s="460">
        <f t="shared" si="55"/>
        <v>2.3435342883211887</v>
      </c>
      <c r="O52" s="460">
        <v>189.14000000000001</v>
      </c>
      <c r="P52" s="460">
        <f t="shared" ref="P52:R52" si="56">O52/O$58*100</f>
        <v>1.0252646368804723</v>
      </c>
      <c r="Q52" s="460">
        <v>559.4</v>
      </c>
      <c r="R52" s="460">
        <f t="shared" si="56"/>
        <v>2.757868602400539</v>
      </c>
      <c r="S52" s="460">
        <v>836.03</v>
      </c>
      <c r="T52" s="460">
        <f t="shared" ref="T52:V52" si="57">S52/S$58*100</f>
        <v>3.9092122705582812</v>
      </c>
      <c r="U52" s="460">
        <v>607.4</v>
      </c>
      <c r="V52" s="460">
        <f t="shared" si="57"/>
        <v>2.7620440399145831</v>
      </c>
      <c r="W52" s="460">
        <v>317.10000000000002</v>
      </c>
      <c r="X52" s="460">
        <f t="shared" ref="X52:Z52" si="58">W52/W$58*100</f>
        <v>1.4035028705196679</v>
      </c>
      <c r="Y52" s="464">
        <v>772.40060247000031</v>
      </c>
      <c r="Z52" s="460">
        <f t="shared" si="58"/>
        <v>3.2954718548406379</v>
      </c>
      <c r="AA52" s="465">
        <v>1015</v>
      </c>
      <c r="AB52" s="460">
        <f t="shared" ref="AB52" si="59">AA52/AA$58*100</f>
        <v>4.2021833965316873</v>
      </c>
      <c r="AC52" s="465">
        <v>700.17129541999998</v>
      </c>
      <c r="AD52" s="460">
        <f t="shared" si="45"/>
        <v>2.8087778323706258</v>
      </c>
      <c r="AE52" s="465">
        <v>770.66885329000002</v>
      </c>
      <c r="AF52" s="744">
        <f t="shared" si="46"/>
        <v>2.9576337562660853</v>
      </c>
      <c r="AG52" s="464">
        <v>802.37722732999976</v>
      </c>
      <c r="AH52" s="462">
        <f t="shared" si="47"/>
        <v>2.9889595612169244</v>
      </c>
    </row>
    <row r="53" spans="2:34" ht="15.75">
      <c r="B53" s="463" t="s">
        <v>849</v>
      </c>
      <c r="C53" s="460"/>
      <c r="D53" s="460"/>
      <c r="E53" s="460"/>
      <c r="F53" s="460"/>
      <c r="G53" s="460"/>
      <c r="H53" s="460"/>
      <c r="I53" s="460"/>
      <c r="J53" s="460"/>
      <c r="K53" s="460"/>
      <c r="L53" s="460"/>
      <c r="M53" s="460"/>
      <c r="N53" s="460"/>
      <c r="O53" s="460"/>
      <c r="P53" s="460"/>
      <c r="Q53" s="460"/>
      <c r="R53" s="460"/>
      <c r="S53" s="460"/>
      <c r="T53" s="460"/>
      <c r="U53" s="460"/>
      <c r="V53" s="460"/>
      <c r="W53" s="460"/>
      <c r="X53" s="460"/>
      <c r="Y53" s="464"/>
      <c r="Z53" s="460"/>
      <c r="AA53" s="465"/>
      <c r="AB53" s="460"/>
      <c r="AC53" s="465"/>
      <c r="AD53" s="460"/>
      <c r="AE53" s="465"/>
      <c r="AF53" s="744"/>
      <c r="AG53" s="464">
        <v>225.6</v>
      </c>
      <c r="AH53" s="462"/>
    </row>
    <row r="54" spans="2:34" ht="15.75">
      <c r="B54" s="463" t="s">
        <v>466</v>
      </c>
      <c r="C54" s="460">
        <v>9.6999999999999993</v>
      </c>
      <c r="D54" s="460">
        <f t="shared" si="17"/>
        <v>7.0674931019081497E-2</v>
      </c>
      <c r="E54" s="460">
        <v>0.3</v>
      </c>
      <c r="F54" s="460">
        <f t="shared" si="17"/>
        <v>2.0410940263981495E-3</v>
      </c>
      <c r="G54" s="460">
        <v>0</v>
      </c>
      <c r="H54" s="460">
        <f t="shared" ref="H54:J54" si="60">G54/G$58*100</f>
        <v>0</v>
      </c>
      <c r="I54" s="460">
        <v>0</v>
      </c>
      <c r="J54" s="460">
        <f t="shared" si="60"/>
        <v>0</v>
      </c>
      <c r="K54" s="460">
        <v>0</v>
      </c>
      <c r="L54" s="460">
        <f t="shared" ref="L54:N54" si="61">K54/K$58*100</f>
        <v>0</v>
      </c>
      <c r="M54" s="460">
        <v>0</v>
      </c>
      <c r="N54" s="460">
        <f t="shared" si="61"/>
        <v>0</v>
      </c>
      <c r="O54" s="460">
        <v>0</v>
      </c>
      <c r="P54" s="460">
        <f t="shared" ref="P54:R54" si="62">O54/O$58*100</f>
        <v>0</v>
      </c>
      <c r="Q54" s="460">
        <v>0</v>
      </c>
      <c r="R54" s="460">
        <f t="shared" si="62"/>
        <v>0</v>
      </c>
      <c r="S54" s="460">
        <v>0</v>
      </c>
      <c r="T54" s="460">
        <f t="shared" ref="T54:V55" si="63">S54/S$58*100</f>
        <v>0</v>
      </c>
      <c r="U54" s="460">
        <v>58.3</v>
      </c>
      <c r="V54" s="460">
        <f t="shared" si="63"/>
        <v>0.26510893567174876</v>
      </c>
      <c r="W54" s="460">
        <v>58.29</v>
      </c>
      <c r="X54" s="460">
        <f t="shared" ref="X54:Z54" si="64">W54/W$58*100</f>
        <v>0.25799489852599</v>
      </c>
      <c r="Y54" s="464">
        <v>77.599999999999994</v>
      </c>
      <c r="Z54" s="460">
        <f t="shared" si="64"/>
        <v>0.3310828799432039</v>
      </c>
      <c r="AA54" s="465">
        <v>133.87813624</v>
      </c>
      <c r="AB54" s="460">
        <f t="shared" ref="AB54" si="65">AA54/AA$58*100</f>
        <v>0.55426648400624157</v>
      </c>
      <c r="AC54" s="465">
        <v>211.34793100000002</v>
      </c>
      <c r="AD54" s="460">
        <f t="shared" si="45"/>
        <v>0.8478345047751582</v>
      </c>
      <c r="AE54" s="465">
        <v>235.81181781000001</v>
      </c>
      <c r="AF54" s="744">
        <f t="shared" si="46"/>
        <v>0.90498660936395459</v>
      </c>
      <c r="AG54" s="464">
        <v>228.23681779000003</v>
      </c>
      <c r="AH54" s="462">
        <f t="shared" si="47"/>
        <v>0.85021183991625915</v>
      </c>
    </row>
    <row r="55" spans="2:34" ht="15.75">
      <c r="B55" s="463" t="s">
        <v>467</v>
      </c>
      <c r="C55" s="460"/>
      <c r="D55" s="460"/>
      <c r="E55" s="460"/>
      <c r="F55" s="460"/>
      <c r="G55" s="460"/>
      <c r="H55" s="460"/>
      <c r="I55" s="460"/>
      <c r="J55" s="460"/>
      <c r="K55" s="460"/>
      <c r="L55" s="460"/>
      <c r="M55" s="460"/>
      <c r="N55" s="460"/>
      <c r="O55" s="460"/>
      <c r="P55" s="460"/>
      <c r="Q55" s="460"/>
      <c r="R55" s="460"/>
      <c r="S55" s="460"/>
      <c r="T55" s="460"/>
      <c r="U55" s="460">
        <v>96.6</v>
      </c>
      <c r="V55" s="460">
        <f t="shared" si="63"/>
        <v>0.43927140970653389</v>
      </c>
      <c r="W55" s="460">
        <v>96.6</v>
      </c>
      <c r="X55" s="460">
        <f t="shared" ref="X55:Z55" si="66">W55/W$58*100</f>
        <v>0.42755716585367359</v>
      </c>
      <c r="Y55" s="464">
        <v>108.29351851999999</v>
      </c>
      <c r="Z55" s="460">
        <f t="shared" si="66"/>
        <v>0.46203775761319954</v>
      </c>
      <c r="AA55" s="465">
        <v>97.974999999999994</v>
      </c>
      <c r="AB55" s="460">
        <f t="shared" ref="AB55" si="67">AA55/AA$58*100</f>
        <v>0.40562455002481979</v>
      </c>
      <c r="AC55" s="465">
        <v>87.487037040000004</v>
      </c>
      <c r="AD55" s="460">
        <f t="shared" si="45"/>
        <v>0.35095933218789982</v>
      </c>
      <c r="AE55" s="465">
        <v>74.942791219999989</v>
      </c>
      <c r="AF55" s="744">
        <f t="shared" si="46"/>
        <v>0.28761163521119515</v>
      </c>
      <c r="AG55" s="464">
        <v>69.276124579999987</v>
      </c>
      <c r="AH55" s="462">
        <f t="shared" si="47"/>
        <v>0.25806257689599804</v>
      </c>
    </row>
    <row r="56" spans="2:34" ht="15.75" hidden="1">
      <c r="B56" s="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1"/>
      <c r="AB56" s="460"/>
      <c r="AC56" s="465"/>
      <c r="AD56" s="460"/>
      <c r="AE56" s="465"/>
      <c r="AF56" s="744"/>
      <c r="AG56" s="464"/>
      <c r="AH56" s="462"/>
    </row>
    <row r="57" spans="2:34" ht="15.75">
      <c r="B57" s="466"/>
      <c r="C57" s="467"/>
      <c r="D57" s="467"/>
      <c r="E57" s="467"/>
      <c r="F57" s="467"/>
      <c r="G57" s="467"/>
      <c r="H57" s="467"/>
      <c r="I57" s="467"/>
      <c r="J57" s="467"/>
      <c r="K57" s="467"/>
      <c r="L57" s="467"/>
      <c r="M57" s="467"/>
      <c r="N57" s="467"/>
      <c r="O57" s="467"/>
      <c r="P57" s="467"/>
      <c r="Q57" s="467"/>
      <c r="R57" s="467"/>
      <c r="S57" s="467"/>
      <c r="T57" s="467"/>
      <c r="U57" s="467"/>
      <c r="V57" s="467"/>
      <c r="W57" s="467"/>
      <c r="X57" s="467"/>
      <c r="Y57" s="468"/>
      <c r="Z57" s="467"/>
      <c r="AA57" s="469"/>
      <c r="AB57" s="467"/>
      <c r="AC57" s="469"/>
      <c r="AD57" s="467"/>
      <c r="AE57" s="469"/>
      <c r="AF57" s="745"/>
      <c r="AG57" s="468"/>
      <c r="AH57" s="470"/>
    </row>
    <row r="58" spans="2:34" ht="16.5" thickBot="1">
      <c r="B58" s="456" t="s">
        <v>469</v>
      </c>
      <c r="C58" s="471">
        <v>13724.81</v>
      </c>
      <c r="D58" s="471"/>
      <c r="E58" s="471">
        <v>14698</v>
      </c>
      <c r="F58" s="471"/>
      <c r="G58" s="471">
        <v>15999.89</v>
      </c>
      <c r="H58" s="471"/>
      <c r="I58" s="471">
        <v>17011.75</v>
      </c>
      <c r="J58" s="471"/>
      <c r="K58" s="471">
        <v>17986.89</v>
      </c>
      <c r="L58" s="471"/>
      <c r="M58" s="471">
        <v>17601.62</v>
      </c>
      <c r="N58" s="471"/>
      <c r="O58" s="471">
        <v>18447.919999999998</v>
      </c>
      <c r="P58" s="471"/>
      <c r="Q58" s="471">
        <v>20283.78</v>
      </c>
      <c r="R58" s="471"/>
      <c r="S58" s="471">
        <v>21386.15</v>
      </c>
      <c r="T58" s="471"/>
      <c r="U58" s="471">
        <v>21990.959999999999</v>
      </c>
      <c r="V58" s="471"/>
      <c r="W58" s="471">
        <v>22593.47</v>
      </c>
      <c r="X58" s="471"/>
      <c r="Y58" s="471">
        <v>23438.240000000002</v>
      </c>
      <c r="Z58" s="471"/>
      <c r="AA58" s="472">
        <v>24154.11</v>
      </c>
      <c r="AB58" s="471"/>
      <c r="AC58" s="472">
        <v>24927.97</v>
      </c>
      <c r="AD58" s="471"/>
      <c r="AE58" s="472">
        <v>26056.94</v>
      </c>
      <c r="AF58" s="746"/>
      <c r="AG58" s="471">
        <v>26844.7</v>
      </c>
      <c r="AH58" s="473"/>
    </row>
    <row r="59" spans="2:34" ht="15.75">
      <c r="B59" s="474"/>
      <c r="C59" s="474"/>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row>
    <row r="60" spans="2:34" ht="16.5" thickBot="1">
      <c r="B60" s="475" t="s">
        <v>617</v>
      </c>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row>
    <row r="61" spans="2:34" ht="15.75">
      <c r="B61" s="477" t="s">
        <v>471</v>
      </c>
      <c r="C61" s="478"/>
      <c r="D61" s="478"/>
      <c r="E61" s="478"/>
      <c r="F61" s="478"/>
      <c r="G61" s="478">
        <f>G62+G64</f>
        <v>90.8</v>
      </c>
      <c r="H61" s="478">
        <f>G61/G$58*100</f>
        <v>0.5675039015893234</v>
      </c>
      <c r="I61" s="478">
        <f>I62+I64</f>
        <v>469.3</v>
      </c>
      <c r="J61" s="478">
        <f>I61/I$58*100</f>
        <v>2.7586814995517805</v>
      </c>
      <c r="K61" s="478">
        <f>K62+K64</f>
        <v>885.2</v>
      </c>
      <c r="L61" s="478">
        <f>K61/K$58*100</f>
        <v>4.9213621698915162</v>
      </c>
      <c r="M61" s="478">
        <f>M62+M64</f>
        <v>1063.0999999999999</v>
      </c>
      <c r="N61" s="478">
        <f>M61/M$58*100</f>
        <v>6.0397849743375893</v>
      </c>
      <c r="O61" s="478">
        <f>O62+O64</f>
        <v>1407.3</v>
      </c>
      <c r="P61" s="478">
        <f>O61/O$58*100</f>
        <v>7.6285022918572931</v>
      </c>
      <c r="Q61" s="478">
        <f>Q62+Q64</f>
        <v>1796.9</v>
      </c>
      <c r="R61" s="478">
        <f>Q61/Q$58*100</f>
        <v>8.8588024520084527</v>
      </c>
      <c r="S61" s="478">
        <f>S62+S64</f>
        <v>2193.4</v>
      </c>
      <c r="T61" s="478">
        <f>S61/S$58*100</f>
        <v>10.256170465464798</v>
      </c>
      <c r="U61" s="478">
        <f>U62+U64</f>
        <v>2608.3000000000002</v>
      </c>
      <c r="V61" s="478">
        <f>U61/U$58*100</f>
        <v>11.860782794384603</v>
      </c>
      <c r="W61" s="478">
        <f>W62+W64</f>
        <v>3040</v>
      </c>
      <c r="X61" s="478">
        <f>W61/W$58*100</f>
        <v>13.455215157299873</v>
      </c>
      <c r="Y61" s="478">
        <f>Y62+Y64</f>
        <v>3478.7</v>
      </c>
      <c r="Z61" s="478">
        <f>Y61/Y$58*100</f>
        <v>14.841984722402362</v>
      </c>
      <c r="AA61" s="479">
        <f>AA62+AA63+AA64</f>
        <v>4015.9</v>
      </c>
      <c r="AB61" s="747">
        <f>AA61/AA$58*100</f>
        <v>16.626155962691236</v>
      </c>
      <c r="AC61" s="478">
        <f>AC62+AC63+AC64</f>
        <v>4573.6000000000004</v>
      </c>
      <c r="AD61" s="478">
        <f>AC61/AC$58*100</f>
        <v>18.347262131653721</v>
      </c>
      <c r="AE61" s="479">
        <f>AE62+AE63+AE64</f>
        <v>4921.5</v>
      </c>
      <c r="AF61" s="747">
        <f>AE61/AE$58*100</f>
        <v>18.887482567024371</v>
      </c>
      <c r="AG61" s="478">
        <f>AG62+AG63+AG64</f>
        <v>5082.7</v>
      </c>
      <c r="AH61" s="480">
        <f>AG61/AG$58*100</f>
        <v>18.933718760127697</v>
      </c>
    </row>
    <row r="62" spans="2:34" ht="15.75">
      <c r="B62" s="463" t="s">
        <v>472</v>
      </c>
      <c r="C62" s="460"/>
      <c r="D62" s="460"/>
      <c r="E62" s="460"/>
      <c r="F62" s="460"/>
      <c r="G62" s="460">
        <v>90.8</v>
      </c>
      <c r="H62" s="460">
        <f>G62/G$58*100</f>
        <v>0.5675039015893234</v>
      </c>
      <c r="I62" s="460">
        <v>409.3</v>
      </c>
      <c r="J62" s="460">
        <f>I62/I$58*100</f>
        <v>2.4059840992255355</v>
      </c>
      <c r="K62" s="460">
        <v>725.2</v>
      </c>
      <c r="L62" s="460">
        <f>K62/K$58*100</f>
        <v>4.0318254017231441</v>
      </c>
      <c r="M62" s="460">
        <v>1063.0999999999999</v>
      </c>
      <c r="N62" s="460">
        <f>M62/M$58*100</f>
        <v>6.0397849743375893</v>
      </c>
      <c r="O62" s="460">
        <v>1407.3</v>
      </c>
      <c r="P62" s="460">
        <f>O62/O$58*100</f>
        <v>7.6285022918572931</v>
      </c>
      <c r="Q62" s="460">
        <v>1796.9</v>
      </c>
      <c r="R62" s="460">
        <f>Q62/Q$58*100</f>
        <v>8.8588024520084527</v>
      </c>
      <c r="S62" s="460">
        <v>2193.4</v>
      </c>
      <c r="T62" s="460">
        <f>S62/S$58*100</f>
        <v>10.256170465464798</v>
      </c>
      <c r="U62" s="460">
        <v>2608.3000000000002</v>
      </c>
      <c r="V62" s="460">
        <f>U62/U$58*100</f>
        <v>11.860782794384603</v>
      </c>
      <c r="W62" s="460">
        <v>3040</v>
      </c>
      <c r="X62" s="460">
        <f>W62/W$58*100</f>
        <v>13.455215157299873</v>
      </c>
      <c r="Y62" s="464">
        <v>3478.7</v>
      </c>
      <c r="Z62" s="460">
        <f>Y62/Y$58*100</f>
        <v>14.841984722402362</v>
      </c>
      <c r="AA62" s="465">
        <v>4015.9</v>
      </c>
      <c r="AB62" s="744">
        <f>AA62/AA$58*100</f>
        <v>16.626155962691236</v>
      </c>
      <c r="AC62" s="464">
        <v>4573.6000000000004</v>
      </c>
      <c r="AD62" s="460">
        <f>AC62/AC$58*100</f>
        <v>18.347262131653721</v>
      </c>
      <c r="AE62" s="465">
        <v>4921.5</v>
      </c>
      <c r="AF62" s="744">
        <f>AE62/AE$58*100</f>
        <v>18.887482567024371</v>
      </c>
      <c r="AG62" s="464">
        <v>5082.7</v>
      </c>
      <c r="AH62" s="462">
        <f>AG62/AG$58*100</f>
        <v>18.933718760127697</v>
      </c>
    </row>
    <row r="63" spans="2:34" ht="15.75" hidden="1">
      <c r="B63" s="463" t="s">
        <v>568</v>
      </c>
      <c r="C63" s="460"/>
      <c r="D63" s="460"/>
      <c r="E63" s="460"/>
      <c r="F63" s="460"/>
      <c r="G63" s="460"/>
      <c r="H63" s="460"/>
      <c r="I63" s="460"/>
      <c r="J63" s="460"/>
      <c r="K63" s="460"/>
      <c r="L63" s="460"/>
      <c r="M63" s="460"/>
      <c r="N63" s="460"/>
      <c r="O63" s="460"/>
      <c r="P63" s="460"/>
      <c r="Q63" s="460"/>
      <c r="R63" s="460"/>
      <c r="S63" s="460"/>
      <c r="T63" s="460"/>
      <c r="U63" s="460"/>
      <c r="V63" s="460"/>
      <c r="W63" s="460"/>
      <c r="X63" s="460"/>
      <c r="Y63" s="464"/>
      <c r="Z63" s="460"/>
      <c r="AA63" s="465"/>
      <c r="AB63" s="744"/>
      <c r="AC63" s="464"/>
      <c r="AD63" s="460"/>
      <c r="AE63" s="465"/>
      <c r="AF63" s="744"/>
      <c r="AG63" s="464"/>
      <c r="AH63" s="462"/>
    </row>
    <row r="64" spans="2:34" ht="15.75" hidden="1">
      <c r="B64" s="481" t="s">
        <v>344</v>
      </c>
      <c r="C64" s="482"/>
      <c r="D64" s="482"/>
      <c r="E64" s="482"/>
      <c r="F64" s="482"/>
      <c r="G64" s="482"/>
      <c r="H64" s="482">
        <f>G64/G$58*100</f>
        <v>0</v>
      </c>
      <c r="I64" s="482">
        <v>60</v>
      </c>
      <c r="J64" s="482">
        <f>I64/I$58*100</f>
        <v>0.35269740032624508</v>
      </c>
      <c r="K64" s="482">
        <v>160</v>
      </c>
      <c r="L64" s="482">
        <f>K64/K$58*100</f>
        <v>0.88953676816837157</v>
      </c>
      <c r="M64" s="482">
        <v>0</v>
      </c>
      <c r="N64" s="482">
        <f>M64/M$58*100</f>
        <v>0</v>
      </c>
      <c r="O64" s="482">
        <v>0</v>
      </c>
      <c r="P64" s="482">
        <f>O64/O$58*100</f>
        <v>0</v>
      </c>
      <c r="Q64" s="482">
        <v>0</v>
      </c>
      <c r="R64" s="482">
        <f>Q64/Q$58*100</f>
        <v>0</v>
      </c>
      <c r="S64" s="482">
        <v>0</v>
      </c>
      <c r="T64" s="482">
        <f>S64/S$58*100</f>
        <v>0</v>
      </c>
      <c r="U64" s="482">
        <v>0</v>
      </c>
      <c r="V64" s="482">
        <f>U64/U$58*100</f>
        <v>0</v>
      </c>
      <c r="W64" s="482">
        <v>0</v>
      </c>
      <c r="X64" s="482">
        <f>W64/W$58*100</f>
        <v>0</v>
      </c>
      <c r="Y64" s="482">
        <v>0</v>
      </c>
      <c r="Z64" s="482">
        <f>Y64/Y$58*100</f>
        <v>0</v>
      </c>
      <c r="AA64" s="483">
        <v>0</v>
      </c>
      <c r="AB64" s="748">
        <f>AA64/AA$58*100</f>
        <v>0</v>
      </c>
      <c r="AC64" s="482">
        <v>0</v>
      </c>
      <c r="AD64" s="482">
        <f>AC64/AC$58*100</f>
        <v>0</v>
      </c>
      <c r="AE64" s="483">
        <v>0</v>
      </c>
      <c r="AF64" s="748">
        <f>AE64/AE$58*100</f>
        <v>0</v>
      </c>
      <c r="AG64" s="482">
        <v>0</v>
      </c>
      <c r="AH64" s="484">
        <f>AG64/AG$58*100</f>
        <v>0</v>
      </c>
    </row>
    <row r="65" spans="2:34" ht="16.5" thickBot="1">
      <c r="B65" s="485" t="s">
        <v>618</v>
      </c>
      <c r="C65" s="471"/>
      <c r="D65" s="471"/>
      <c r="E65" s="471"/>
      <c r="F65" s="471"/>
      <c r="G65" s="471">
        <f>G43+G61</f>
        <v>7474.9000000000005</v>
      </c>
      <c r="H65" s="471">
        <f>G65/G$58*100</f>
        <v>46.718446189317561</v>
      </c>
      <c r="I65" s="471">
        <f>I43+I61</f>
        <v>7895.0999999999995</v>
      </c>
      <c r="J65" s="471">
        <f>I65/I$58*100</f>
        <v>46.409687421928957</v>
      </c>
      <c r="K65" s="471">
        <f>K43+K61</f>
        <v>8769</v>
      </c>
      <c r="L65" s="471">
        <f>K65/K$58*100</f>
        <v>48.752174500427813</v>
      </c>
      <c r="M65" s="471">
        <f>M43+M61</f>
        <v>10336.699999999999</v>
      </c>
      <c r="N65" s="471">
        <f>M65/M$58*100</f>
        <v>58.725844552944551</v>
      </c>
      <c r="O65" s="471">
        <f>O43+O61</f>
        <v>11023.539999999999</v>
      </c>
      <c r="P65" s="471">
        <f>O65/O$58*100</f>
        <v>59.75492087996912</v>
      </c>
      <c r="Q65" s="471">
        <f>Q43+Q61</f>
        <v>11928.8</v>
      </c>
      <c r="R65" s="471">
        <f>Q65/Q$58*100</f>
        <v>58.809551276931614</v>
      </c>
      <c r="S65" s="471">
        <f>S43+S61</f>
        <v>13480.13</v>
      </c>
      <c r="T65" s="471">
        <f>S65/S$58*100</f>
        <v>63.032055793118438</v>
      </c>
      <c r="U65" s="471">
        <f>U43+U61</f>
        <v>13767.8</v>
      </c>
      <c r="V65" s="471">
        <f>U65/U$58*100</f>
        <v>62.606634726269341</v>
      </c>
      <c r="W65" s="471">
        <f>W43+W61</f>
        <v>14592.595796490001</v>
      </c>
      <c r="X65" s="471">
        <f>W65/W$58*100</f>
        <v>64.587669784632467</v>
      </c>
      <c r="Y65" s="471">
        <f>Y43+Y61</f>
        <v>15506.538252360002</v>
      </c>
      <c r="Z65" s="471">
        <f>Y65/Y$58*100</f>
        <v>66.159141012123783</v>
      </c>
      <c r="AA65" s="472">
        <f>AA43+AA61</f>
        <v>16322.959647970001</v>
      </c>
      <c r="AB65" s="746">
        <f>AA65/AA$58*100</f>
        <v>67.578394103405188</v>
      </c>
      <c r="AC65" s="471">
        <f>AC43+AC61</f>
        <v>17290.78264546</v>
      </c>
      <c r="AD65" s="471">
        <f>AC65/AC$58*100</f>
        <v>69.362979197503847</v>
      </c>
      <c r="AE65" s="472">
        <f>AE43+AE61</f>
        <v>18084.194728559996</v>
      </c>
      <c r="AF65" s="746">
        <f>AE65/AE$58*100</f>
        <v>69.402603408381793</v>
      </c>
      <c r="AG65" s="471">
        <f>AG43+AG61</f>
        <v>18388.523079900002</v>
      </c>
      <c r="AH65" s="473">
        <f>AG65/AG$58*100</f>
        <v>68.499640822583231</v>
      </c>
    </row>
    <row r="66" spans="2:34" ht="15.7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2:34" ht="15.75">
      <c r="B67" s="48" t="s">
        <v>474</v>
      </c>
      <c r="C67" s="4"/>
      <c r="D67" s="4"/>
      <c r="E67" s="4"/>
      <c r="F67" s="4"/>
      <c r="G67" s="4"/>
      <c r="H67" s="4"/>
      <c r="I67" s="4"/>
      <c r="J67" s="4"/>
      <c r="K67" s="4"/>
      <c r="L67" s="4"/>
      <c r="M67" s="4"/>
      <c r="N67" s="4"/>
      <c r="O67" s="4"/>
      <c r="P67" s="4"/>
      <c r="Q67" s="4"/>
      <c r="R67" s="4"/>
      <c r="S67" s="4"/>
      <c r="T67" s="4"/>
      <c r="U67" s="4"/>
      <c r="V67" s="4"/>
      <c r="W67" s="4"/>
      <c r="X67" s="4"/>
      <c r="Y67" s="4"/>
      <c r="Z67" s="4"/>
    </row>
    <row r="68" spans="2:34" ht="15.75">
      <c r="B68" s="48" t="s">
        <v>475</v>
      </c>
      <c r="C68" s="4"/>
      <c r="D68" s="4"/>
      <c r="E68" s="4"/>
      <c r="F68" s="4"/>
      <c r="G68" s="4"/>
      <c r="H68" s="4"/>
      <c r="I68" s="4"/>
      <c r="J68" s="4"/>
      <c r="K68" s="4"/>
      <c r="L68" s="4"/>
      <c r="M68" s="4"/>
      <c r="N68" s="4"/>
      <c r="O68" s="4"/>
      <c r="P68" s="4"/>
      <c r="Q68" s="4"/>
      <c r="R68" s="4"/>
      <c r="S68" s="4"/>
      <c r="T68" s="4"/>
      <c r="U68" s="4"/>
      <c r="V68" s="4"/>
      <c r="W68" s="4"/>
      <c r="X68" s="4"/>
      <c r="Y68" s="4"/>
      <c r="Z68" s="4"/>
    </row>
    <row r="69" spans="2:34" ht="15.75">
      <c r="B69" s="48" t="s">
        <v>476</v>
      </c>
      <c r="C69" s="4"/>
      <c r="D69" s="4"/>
      <c r="E69" s="4"/>
      <c r="F69" s="4"/>
      <c r="G69" s="4"/>
      <c r="H69" s="4"/>
      <c r="I69" s="4"/>
      <c r="J69" s="4"/>
      <c r="K69" s="4"/>
      <c r="L69" s="4"/>
      <c r="M69" s="4"/>
      <c r="N69" s="4"/>
      <c r="O69" s="4"/>
      <c r="P69" s="4"/>
      <c r="Q69" s="4"/>
      <c r="R69" s="4"/>
      <c r="S69" s="4"/>
      <c r="T69" s="4"/>
      <c r="U69" s="4"/>
      <c r="V69" s="4"/>
      <c r="W69" s="4"/>
      <c r="X69" s="4"/>
      <c r="Y69" s="4"/>
      <c r="Z69" s="4"/>
    </row>
    <row r="70" spans="2:34" ht="15.75">
      <c r="B70" s="48" t="s">
        <v>477</v>
      </c>
      <c r="C70" s="4"/>
      <c r="D70" s="4"/>
      <c r="E70" s="4"/>
      <c r="F70" s="4"/>
      <c r="G70" s="4"/>
      <c r="H70" s="4"/>
      <c r="I70" s="4"/>
      <c r="J70" s="4"/>
      <c r="K70" s="4"/>
      <c r="L70" s="4"/>
      <c r="M70" s="4"/>
      <c r="N70" s="4"/>
      <c r="O70" s="4"/>
      <c r="P70" s="4"/>
      <c r="Q70" s="4"/>
      <c r="R70" s="4"/>
      <c r="S70" s="4"/>
      <c r="T70" s="4"/>
      <c r="U70" s="4"/>
      <c r="V70" s="4"/>
      <c r="W70" s="4"/>
      <c r="X70" s="4"/>
      <c r="Y70" s="4"/>
      <c r="Z70" s="4"/>
    </row>
    <row r="71" spans="2:34" ht="15.75">
      <c r="B71" s="4"/>
      <c r="C71" s="4"/>
      <c r="D71" s="4"/>
      <c r="E71" s="4"/>
      <c r="F71" s="4"/>
      <c r="G71" s="4"/>
      <c r="H71" s="4"/>
      <c r="I71" s="4"/>
      <c r="J71" s="4"/>
      <c r="K71" s="4"/>
      <c r="L71" s="4"/>
      <c r="M71" s="4"/>
      <c r="N71" s="4"/>
      <c r="O71" s="4"/>
      <c r="P71" s="4"/>
      <c r="Q71" s="4"/>
      <c r="R71" s="4"/>
      <c r="S71" s="4"/>
      <c r="T71" s="4"/>
      <c r="U71" s="4"/>
      <c r="V71" s="4"/>
      <c r="W71" s="4"/>
      <c r="X71" s="4"/>
      <c r="Y71" s="4"/>
      <c r="Z71" s="4"/>
      <c r="AA71" s="4"/>
    </row>
    <row r="74" spans="2:34">
      <c r="C74" s="23"/>
      <c r="E74" s="23"/>
      <c r="G74" s="23"/>
      <c r="I74" s="23"/>
      <c r="K74" s="23"/>
      <c r="M74" s="23"/>
      <c r="O74" s="23"/>
      <c r="Q74" s="23"/>
      <c r="S74" s="23"/>
      <c r="U74" s="23"/>
      <c r="W74" s="23"/>
      <c r="Y74" s="23"/>
      <c r="AA74" s="23"/>
      <c r="AC74" s="23"/>
    </row>
    <row r="75" spans="2:34">
      <c r="AE75">
        <v>17491.469729690001</v>
      </c>
    </row>
  </sheetData>
  <printOptions horizontalCentered="1"/>
  <pageMargins left="0.7" right="0.7" top="0.75" bottom="0.75" header="0.3" footer="0.3"/>
  <pageSetup scale="77" orientation="landscape" r:id="rId1"/>
  <ignoredErrors>
    <ignoredError sqref="R7:T7 Q7 Q9:R9 S9:T9 U7:V7 U9:V9 W9:X9 W7:X7 Y7:Z7 Y9:Z9 AA9 AA7 Q14:R14 S14:T14 U14:V14 W14:X14 Y14:Z14 AA14 Q23:R23 Q27:R27 S27:T27 S23:T23 U23:V23 U27:V27 W27:X27 W23:X23 Y23:AA23 Y27:Z27 AA27 D43:D45 D50:G50 E43:G43 E45:H45 I43:K43 I45:K45 H50:J50 Z50:AG50 X50:Y50 Y45:AG45 Y43:AG43 W43:X43 W45:X45 U45:V45 U43:V43 S43:T43 Q43:R43 O43:P43 O45:Q45 R45:S45 T45 P50:R50 S50:T50 U50:V50 W50 M45:N45 M43:N43 L43 L45 K50:L50 M50:N50 O50 H61 J61 H65 L61 J65 L65 N65 N61 AA61:AG61 W61:Y61 U61:V61 S61:T61 Q61:R61 Q65:S65 P61 P65 W65:Y65 U65:V65 T65 Z65:AG65" formula="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B1:AA72"/>
  <sheetViews>
    <sheetView showGridLines="0" workbookViewId="0">
      <selection activeCell="B5" sqref="B5:F46"/>
    </sheetView>
  </sheetViews>
  <sheetFormatPr baseColWidth="10" defaultRowHeight="15"/>
  <cols>
    <col min="1" max="1" width="8.7109375" customWidth="1"/>
    <col min="2" max="2" width="54" customWidth="1"/>
    <col min="3" max="6" width="11.7109375" customWidth="1"/>
    <col min="7" max="8" width="11.42578125" hidden="1" customWidth="1"/>
  </cols>
  <sheetData>
    <row r="1" spans="2:8">
      <c r="D1" s="9"/>
      <c r="E1" s="9"/>
    </row>
    <row r="2" spans="2:8">
      <c r="D2" s="9"/>
      <c r="E2" s="9"/>
      <c r="G2" s="9"/>
      <c r="H2" s="9"/>
    </row>
    <row r="3" spans="2:8">
      <c r="B3" s="234" t="s">
        <v>800</v>
      </c>
      <c r="C3" s="9"/>
      <c r="D3" s="9"/>
      <c r="E3" s="9"/>
      <c r="F3" s="9"/>
      <c r="G3" s="9"/>
      <c r="H3" s="9"/>
    </row>
    <row r="4" spans="2:8" ht="15.75" thickBot="1">
      <c r="B4" s="2"/>
      <c r="C4" s="2"/>
      <c r="D4" s="2"/>
      <c r="E4" s="2"/>
      <c r="F4" s="2"/>
      <c r="G4" s="2"/>
      <c r="H4" s="2"/>
    </row>
    <row r="5" spans="2:8">
      <c r="B5" s="815" t="s">
        <v>478</v>
      </c>
      <c r="C5" s="817" t="s">
        <v>801</v>
      </c>
      <c r="D5" s="817"/>
      <c r="E5" s="817" t="s">
        <v>802</v>
      </c>
      <c r="F5" s="817"/>
      <c r="G5" s="2"/>
      <c r="H5" s="2"/>
    </row>
    <row r="6" spans="2:8">
      <c r="B6" s="816"/>
      <c r="C6" s="486" t="s">
        <v>479</v>
      </c>
      <c r="D6" s="486" t="s">
        <v>480</v>
      </c>
      <c r="E6" s="486" t="s">
        <v>479</v>
      </c>
      <c r="F6" s="486" t="s">
        <v>480</v>
      </c>
      <c r="G6" s="2"/>
      <c r="H6" s="2"/>
    </row>
    <row r="7" spans="2:8" ht="21" customHeight="1" thickBot="1">
      <c r="B7" s="818" t="s">
        <v>481</v>
      </c>
      <c r="C7" s="818"/>
      <c r="D7" s="818"/>
      <c r="E7" s="818"/>
      <c r="F7" s="818"/>
      <c r="G7" s="2"/>
      <c r="H7" s="2"/>
    </row>
    <row r="8" spans="2:8" ht="15.75" thickTop="1">
      <c r="B8" s="487" t="s">
        <v>482</v>
      </c>
      <c r="C8" s="488">
        <f>SUM(C9:C11)</f>
        <v>9126.9470000000001</v>
      </c>
      <c r="D8" s="488">
        <f>C8/C$48*100</f>
        <v>35.026933323713379</v>
      </c>
      <c r="E8" s="488">
        <f>SUM(E9:E11)</f>
        <v>9239.5159999999996</v>
      </c>
      <c r="F8" s="488">
        <f>E8/E$48*100</f>
        <v>34.418399162590752</v>
      </c>
      <c r="G8" s="445">
        <f>+E8-C8</f>
        <v>112.56899999999951</v>
      </c>
      <c r="H8" s="445">
        <f>+G8/C8*100</f>
        <v>1.2333697127856611</v>
      </c>
    </row>
    <row r="9" spans="2:8">
      <c r="B9" s="489" t="s">
        <v>483</v>
      </c>
      <c r="C9" s="600">
        <v>8534.2469999999994</v>
      </c>
      <c r="D9" s="445">
        <f>C9/C$48*100</f>
        <v>32.752299387418475</v>
      </c>
      <c r="E9" s="600">
        <v>8651.0159999999996</v>
      </c>
      <c r="F9" s="445">
        <f>E9/E$48*100</f>
        <v>32.226160098641444</v>
      </c>
      <c r="G9" s="445">
        <f t="shared" ref="G9:G16" si="0">+E9-C9</f>
        <v>116.76900000000023</v>
      </c>
      <c r="H9" s="445">
        <f t="shared" ref="H9:H16" si="1">+G9/C9*100</f>
        <v>1.3682402208419824</v>
      </c>
    </row>
    <row r="10" spans="2:8">
      <c r="B10" s="489" t="s">
        <v>484</v>
      </c>
      <c r="C10" s="600">
        <v>85</v>
      </c>
      <c r="D10" s="445">
        <f>C10/C$48*100</f>
        <v>0.3262086799140651</v>
      </c>
      <c r="E10" s="600">
        <v>77.5</v>
      </c>
      <c r="F10" s="445">
        <f>E10/E$48*100</f>
        <v>0.288697582763078</v>
      </c>
      <c r="G10" s="445">
        <f t="shared" si="0"/>
        <v>-7.5</v>
      </c>
      <c r="H10" s="445">
        <f t="shared" si="1"/>
        <v>-8.8235294117647065</v>
      </c>
    </row>
    <row r="11" spans="2:8">
      <c r="B11" s="489" t="s">
        <v>485</v>
      </c>
      <c r="C11" s="600">
        <v>507.7</v>
      </c>
      <c r="D11" s="445">
        <f>C11/C$48*100</f>
        <v>1.9484252563808337</v>
      </c>
      <c r="E11" s="600">
        <v>511</v>
      </c>
      <c r="F11" s="445">
        <f>E11/E$48*100</f>
        <v>1.9035414811862303</v>
      </c>
      <c r="G11" s="445">
        <f t="shared" si="0"/>
        <v>3.3000000000000114</v>
      </c>
      <c r="H11" s="445">
        <f t="shared" si="1"/>
        <v>0.64999015166437091</v>
      </c>
    </row>
    <row r="12" spans="2:8">
      <c r="B12" s="2"/>
      <c r="C12" s="600"/>
      <c r="D12" s="445"/>
      <c r="E12" s="445"/>
      <c r="F12" s="445"/>
      <c r="G12" s="445"/>
      <c r="H12" s="445"/>
    </row>
    <row r="13" spans="2:8">
      <c r="B13" s="487" t="s">
        <v>486</v>
      </c>
      <c r="C13" s="691">
        <f>SUM(C14:C16)</f>
        <v>3624.7227296900001</v>
      </c>
      <c r="D13" s="488">
        <f>C13/C$48*100</f>
        <v>13.910776667137432</v>
      </c>
      <c r="E13" s="488">
        <f>SUM(E14:E16)</f>
        <v>4066.3070799000006</v>
      </c>
      <c r="F13" s="488">
        <f>E13/E$48*100</f>
        <v>15.147522899864779</v>
      </c>
      <c r="G13" s="445">
        <f t="shared" si="0"/>
        <v>441.58435021000059</v>
      </c>
      <c r="H13" s="445">
        <f t="shared" si="1"/>
        <v>12.182569071918131</v>
      </c>
    </row>
    <row r="14" spans="2:8">
      <c r="B14" s="489" t="s">
        <v>483</v>
      </c>
      <c r="C14" s="600">
        <f xml:space="preserve"> 2491.27741069 + 808.06635933</f>
        <v>3299.3437700200002</v>
      </c>
      <c r="D14" s="445">
        <f>C14/C$48*100</f>
        <v>12.662053832951992</v>
      </c>
      <c r="E14" s="600">
        <f>2740.8169102 + 802.37722733 + 225.6 + 5082.7-5082.7</f>
        <v>3768.7941375300006</v>
      </c>
      <c r="F14" s="445">
        <f>E14/E$48*100</f>
        <v>14.039248483052521</v>
      </c>
      <c r="G14" s="445">
        <f t="shared" si="0"/>
        <v>469.45036751000043</v>
      </c>
      <c r="H14" s="445">
        <f t="shared" si="1"/>
        <v>14.228598176877904</v>
      </c>
    </row>
    <row r="15" spans="2:8">
      <c r="B15" s="489" t="s">
        <v>484</v>
      </c>
      <c r="C15" s="600">
        <v>82.2</v>
      </c>
      <c r="D15" s="445">
        <f>C15/C$48*100</f>
        <v>0.3154629822227783</v>
      </c>
      <c r="E15" s="600">
        <v>69.276124579999987</v>
      </c>
      <c r="F15" s="445">
        <f>E15/E$48*100</f>
        <v>0.25806257689599804</v>
      </c>
      <c r="G15" s="445">
        <f t="shared" si="0"/>
        <v>-12.923875420000016</v>
      </c>
      <c r="H15" s="445">
        <f t="shared" si="1"/>
        <v>-15.72247618004868</v>
      </c>
    </row>
    <row r="16" spans="2:8">
      <c r="B16" s="489" t="s">
        <v>485</v>
      </c>
      <c r="C16" s="600">
        <v>243.17895966999998</v>
      </c>
      <c r="D16" s="445">
        <f>C16/C$48*100</f>
        <v>0.93325985196266326</v>
      </c>
      <c r="E16" s="600">
        <v>228.23681779000003</v>
      </c>
      <c r="F16" s="445">
        <f>E16/E$48*100</f>
        <v>0.85021183991625915</v>
      </c>
      <c r="G16" s="445">
        <f t="shared" si="0"/>
        <v>-14.942141879999951</v>
      </c>
      <c r="H16" s="445">
        <f t="shared" si="1"/>
        <v>-6.1445044013169632</v>
      </c>
    </row>
    <row r="17" spans="2:13" hidden="1">
      <c r="B17" s="2"/>
      <c r="C17" s="445"/>
      <c r="D17" s="445">
        <f t="shared" ref="D17:D18" si="2">C17/C$48*100</f>
        <v>0</v>
      </c>
      <c r="E17" s="445"/>
      <c r="F17" s="445">
        <f t="shared" ref="F17:F18" si="3">E17/E$48*100</f>
        <v>0</v>
      </c>
      <c r="G17" s="445"/>
      <c r="H17" s="445"/>
    </row>
    <row r="18" spans="2:13">
      <c r="B18" s="759" t="s">
        <v>850</v>
      </c>
      <c r="C18" s="760">
        <v>4739.8</v>
      </c>
      <c r="D18" s="760">
        <f t="shared" si="2"/>
        <v>18.190163541843365</v>
      </c>
      <c r="E18" s="760">
        <v>5082.7</v>
      </c>
      <c r="F18" s="760">
        <f t="shared" si="3"/>
        <v>18.933718760127697</v>
      </c>
      <c r="G18" s="445"/>
      <c r="H18" s="445"/>
    </row>
    <row r="19" spans="2:13" ht="21" customHeight="1">
      <c r="B19" s="761" t="s">
        <v>851</v>
      </c>
      <c r="C19" s="40">
        <f>C8+C13</f>
        <v>12751.66972969</v>
      </c>
      <c r="D19" s="40">
        <f>C19/C$48*100</f>
        <v>48.937709990850806</v>
      </c>
      <c r="E19" s="40">
        <f>E8+E13</f>
        <v>13305.823079900001</v>
      </c>
      <c r="F19" s="40">
        <f>E19/E$48*100</f>
        <v>49.565922062455535</v>
      </c>
      <c r="G19" s="445">
        <f>+E19-C19</f>
        <v>554.15335021000101</v>
      </c>
      <c r="H19" s="445">
        <f>+G19/C19*100</f>
        <v>4.3457316724550461</v>
      </c>
    </row>
    <row r="20" spans="2:13" ht="21" customHeight="1">
      <c r="B20" s="487" t="s">
        <v>852</v>
      </c>
      <c r="C20" s="488">
        <f>C19+C18</f>
        <v>17491.469729690001</v>
      </c>
      <c r="D20" s="488">
        <f>C20/C$48*100</f>
        <v>67.127873532694181</v>
      </c>
      <c r="E20" s="488">
        <f>E19+E18</f>
        <v>18388.523079900002</v>
      </c>
      <c r="F20" s="488">
        <f>E20/E$48*100</f>
        <v>68.499640822583231</v>
      </c>
      <c r="G20" s="445"/>
      <c r="H20" s="445"/>
    </row>
    <row r="21" spans="2:13" ht="21" customHeight="1" thickBot="1">
      <c r="B21" s="818" t="s">
        <v>487</v>
      </c>
      <c r="C21" s="818"/>
      <c r="D21" s="818"/>
      <c r="E21" s="818"/>
      <c r="F21" s="818"/>
      <c r="G21" s="445"/>
      <c r="H21" s="445"/>
    </row>
    <row r="22" spans="2:13" ht="15.75" thickTop="1">
      <c r="B22" s="487" t="s">
        <v>482</v>
      </c>
      <c r="C22" s="488">
        <f>+C23+C28+C34</f>
        <v>9126.9470000000001</v>
      </c>
      <c r="D22" s="488">
        <f t="shared" ref="D22:D36" si="4">C22/C$48*100</f>
        <v>35.026933323713379</v>
      </c>
      <c r="E22" s="488">
        <f>+E23+E28+E34</f>
        <v>9239.5159999999996</v>
      </c>
      <c r="F22" s="488">
        <f t="shared" ref="F22:F36" si="5">E22/E$48*100</f>
        <v>34.418399162590752</v>
      </c>
      <c r="G22" s="445">
        <f t="shared" ref="G22:G36" si="6">+E22-C22</f>
        <v>112.56899999999951</v>
      </c>
      <c r="H22" s="445">
        <f t="shared" ref="H22:H36" si="7">+G22/C22*100</f>
        <v>1.2333697127856611</v>
      </c>
      <c r="L22" s="9"/>
      <c r="M22" s="9"/>
    </row>
    <row r="23" spans="2:13">
      <c r="B23" s="490" t="s">
        <v>488</v>
      </c>
      <c r="C23" s="488">
        <f>SUM(C24:C27)</f>
        <v>3504.4</v>
      </c>
      <c r="D23" s="488">
        <f t="shared" si="4"/>
        <v>13.449008210480587</v>
      </c>
      <c r="E23" s="488">
        <f>SUM(E24:E27)</f>
        <v>3707.4</v>
      </c>
      <c r="F23" s="488">
        <f t="shared" si="5"/>
        <v>13.810547333365616</v>
      </c>
      <c r="G23" s="445">
        <f t="shared" si="6"/>
        <v>203</v>
      </c>
      <c r="H23" s="445">
        <f t="shared" si="7"/>
        <v>5.7927177262869538</v>
      </c>
      <c r="L23" s="9"/>
      <c r="M23" s="9"/>
    </row>
    <row r="24" spans="2:13">
      <c r="B24" s="491" t="s">
        <v>489</v>
      </c>
      <c r="C24" s="600">
        <v>1730.1999999999998</v>
      </c>
      <c r="D24" s="445">
        <f t="shared" si="4"/>
        <v>6.6400736233801814</v>
      </c>
      <c r="E24" s="600">
        <v>1959.8</v>
      </c>
      <c r="F24" s="445">
        <f t="shared" si="5"/>
        <v>7.3005099703107135</v>
      </c>
      <c r="G24" s="445">
        <f t="shared" si="6"/>
        <v>229.60000000000014</v>
      </c>
      <c r="H24" s="445">
        <f t="shared" si="7"/>
        <v>13.270142180094796</v>
      </c>
      <c r="L24" s="9"/>
      <c r="M24" s="9"/>
    </row>
    <row r="25" spans="2:13">
      <c r="B25" s="491" t="s">
        <v>490</v>
      </c>
      <c r="C25" s="600">
        <v>898.8</v>
      </c>
      <c r="D25" s="445">
        <f t="shared" si="4"/>
        <v>3.4493689589030789</v>
      </c>
      <c r="E25" s="600">
        <v>850.8</v>
      </c>
      <c r="F25" s="445">
        <f t="shared" si="5"/>
        <v>3.1693406892235707</v>
      </c>
      <c r="G25" s="445">
        <f t="shared" si="6"/>
        <v>-48</v>
      </c>
      <c r="H25" s="445">
        <f t="shared" si="7"/>
        <v>-5.3404539385847798</v>
      </c>
      <c r="K25" s="23"/>
      <c r="L25" s="9"/>
      <c r="M25" s="9"/>
    </row>
    <row r="26" spans="2:13">
      <c r="B26" s="491" t="s">
        <v>491</v>
      </c>
      <c r="C26" s="600">
        <v>798.59999999999991</v>
      </c>
      <c r="D26" s="445">
        <f t="shared" si="4"/>
        <v>3.064826491522028</v>
      </c>
      <c r="E26" s="600">
        <v>826.30000000000007</v>
      </c>
      <c r="F26" s="445">
        <f t="shared" si="5"/>
        <v>3.0780750017694372</v>
      </c>
      <c r="G26" s="445">
        <f t="shared" si="6"/>
        <v>27.700000000000159</v>
      </c>
      <c r="H26" s="445">
        <f t="shared" si="7"/>
        <v>3.4685699974956381</v>
      </c>
      <c r="K26" s="23"/>
      <c r="L26" s="9"/>
      <c r="M26" s="9"/>
    </row>
    <row r="27" spans="2:13">
      <c r="B27" s="491" t="s">
        <v>492</v>
      </c>
      <c r="C27" s="600">
        <f>3.2 + 60.1 + 13.5</f>
        <v>76.800000000000011</v>
      </c>
      <c r="D27" s="445">
        <f t="shared" si="4"/>
        <v>0.29473913667529655</v>
      </c>
      <c r="E27" s="600">
        <f>2.6 + 55.4 + 12.5</f>
        <v>70.5</v>
      </c>
      <c r="F27" s="445">
        <f t="shared" si="5"/>
        <v>0.26262167206189674</v>
      </c>
      <c r="G27" s="445">
        <f t="shared" si="6"/>
        <v>-6.3000000000000114</v>
      </c>
      <c r="H27" s="445">
        <f t="shared" si="7"/>
        <v>-8.2031250000000142</v>
      </c>
      <c r="K27" s="23"/>
      <c r="L27" s="9"/>
      <c r="M27" s="9"/>
    </row>
    <row r="28" spans="2:13">
      <c r="B28" s="490" t="s">
        <v>493</v>
      </c>
      <c r="C28" s="488">
        <f>SUM(C29:C33)</f>
        <v>363.40000000000003</v>
      </c>
      <c r="D28" s="488">
        <f t="shared" si="4"/>
        <v>1.394638050362015</v>
      </c>
      <c r="E28" s="488">
        <f>SUM(E29:E33)</f>
        <v>352.40000000000003</v>
      </c>
      <c r="F28" s="488">
        <f t="shared" si="5"/>
        <v>1.312735847299467</v>
      </c>
      <c r="G28" s="445">
        <f t="shared" si="6"/>
        <v>-11</v>
      </c>
      <c r="H28" s="445">
        <f t="shared" si="7"/>
        <v>-3.0269675288937807</v>
      </c>
      <c r="K28" s="23"/>
      <c r="L28" s="9"/>
      <c r="M28" s="9"/>
    </row>
    <row r="29" spans="2:13">
      <c r="B29" s="491" t="s">
        <v>494</v>
      </c>
      <c r="C29" s="600">
        <v>121</v>
      </c>
      <c r="D29" s="445">
        <f t="shared" si="4"/>
        <v>0.46436765023061038</v>
      </c>
      <c r="E29" s="600">
        <v>109.39999999999999</v>
      </c>
      <c r="F29" s="445">
        <f t="shared" si="5"/>
        <v>0.407529232958461</v>
      </c>
      <c r="G29" s="445">
        <f t="shared" si="6"/>
        <v>-11.600000000000009</v>
      </c>
      <c r="H29" s="445">
        <f t="shared" si="7"/>
        <v>-9.5867768595041394</v>
      </c>
      <c r="K29" s="23"/>
      <c r="L29" s="9"/>
      <c r="M29" s="9"/>
    </row>
    <row r="30" spans="2:13">
      <c r="B30" s="491" t="s">
        <v>495</v>
      </c>
      <c r="C30" s="600">
        <v>149.89999999999998</v>
      </c>
      <c r="D30" s="445">
        <f t="shared" si="4"/>
        <v>0.57527860140139242</v>
      </c>
      <c r="E30" s="600">
        <v>142</v>
      </c>
      <c r="F30" s="445">
        <f t="shared" si="5"/>
        <v>0.5289684742239622</v>
      </c>
      <c r="G30" s="445">
        <f t="shared" si="6"/>
        <v>-7.8999999999999773</v>
      </c>
      <c r="H30" s="445">
        <f t="shared" si="7"/>
        <v>-5.2701801200800391</v>
      </c>
      <c r="K30" s="23"/>
      <c r="L30" s="9"/>
      <c r="M30" s="9"/>
    </row>
    <row r="31" spans="2:13">
      <c r="B31" s="491" t="s">
        <v>496</v>
      </c>
      <c r="C31" s="600">
        <v>48.8</v>
      </c>
      <c r="D31" s="445">
        <f t="shared" si="4"/>
        <v>0.18728215976242796</v>
      </c>
      <c r="E31" s="600">
        <v>42.1</v>
      </c>
      <c r="F31" s="445">
        <f t="shared" si="5"/>
        <v>0.15682797721710431</v>
      </c>
      <c r="G31" s="445">
        <f t="shared" si="6"/>
        <v>-6.6999999999999957</v>
      </c>
      <c r="H31" s="445">
        <f t="shared" si="7"/>
        <v>-13.729508196721305</v>
      </c>
      <c r="K31" s="23"/>
      <c r="L31" s="9"/>
      <c r="M31" s="9"/>
    </row>
    <row r="32" spans="2:13">
      <c r="B32" s="491" t="s">
        <v>497</v>
      </c>
      <c r="C32" s="600">
        <v>40.900000000000006</v>
      </c>
      <c r="D32" s="600">
        <f t="shared" si="4"/>
        <v>0.15696394127629726</v>
      </c>
      <c r="E32" s="600">
        <v>42.3</v>
      </c>
      <c r="F32" s="445">
        <f t="shared" si="5"/>
        <v>0.15757300323713802</v>
      </c>
      <c r="G32" s="445">
        <f t="shared" si="6"/>
        <v>1.3999999999999915</v>
      </c>
      <c r="H32" s="445">
        <f t="shared" si="7"/>
        <v>3.4229828850855535</v>
      </c>
      <c r="K32" s="23"/>
      <c r="L32" s="9"/>
      <c r="M32" s="9"/>
    </row>
    <row r="33" spans="2:27">
      <c r="B33" s="491" t="s">
        <v>492</v>
      </c>
      <c r="C33" s="600">
        <f>0 + 0  + 2.8</f>
        <v>2.8</v>
      </c>
      <c r="D33" s="600">
        <f t="shared" si="4"/>
        <v>1.0745697691286851E-2</v>
      </c>
      <c r="E33" s="600">
        <f>0 + 0 + 2.1 + 10 + 4.5</f>
        <v>16.600000000000001</v>
      </c>
      <c r="F33" s="445">
        <f t="shared" si="5"/>
        <v>6.1837159662801226E-2</v>
      </c>
      <c r="G33" s="445">
        <f t="shared" si="6"/>
        <v>13.8</v>
      </c>
      <c r="H33" s="445">
        <f t="shared" si="7"/>
        <v>492.85714285714289</v>
      </c>
      <c r="K33" s="23"/>
      <c r="L33" s="9"/>
      <c r="M33" s="9"/>
    </row>
    <row r="34" spans="2:27">
      <c r="B34" s="490" t="s">
        <v>498</v>
      </c>
      <c r="C34" s="488">
        <f>SUM(C35:C36)</f>
        <v>5259.1469999999999</v>
      </c>
      <c r="D34" s="488">
        <f t="shared" si="4"/>
        <v>20.183287062870775</v>
      </c>
      <c r="E34" s="488">
        <f>SUM(E35:E36)</f>
        <v>5179.7160000000003</v>
      </c>
      <c r="F34" s="488">
        <f t="shared" si="5"/>
        <v>19.295115981925669</v>
      </c>
      <c r="G34" s="445">
        <f t="shared" si="6"/>
        <v>-79.430999999999585</v>
      </c>
      <c r="H34" s="445">
        <f t="shared" si="7"/>
        <v>-1.5103399847922028</v>
      </c>
      <c r="K34" s="23"/>
      <c r="L34" s="9"/>
      <c r="M34" s="9"/>
    </row>
    <row r="35" spans="2:27">
      <c r="B35" s="491" t="s">
        <v>499</v>
      </c>
      <c r="C35" s="600">
        <v>5259.1469999999999</v>
      </c>
      <c r="D35" s="445">
        <f t="shared" si="4"/>
        <v>20.183287062870775</v>
      </c>
      <c r="E35" s="600">
        <v>5179.7160000000003</v>
      </c>
      <c r="F35" s="445">
        <f t="shared" si="5"/>
        <v>19.295115981925669</v>
      </c>
      <c r="G35" s="445">
        <f t="shared" si="6"/>
        <v>-79.430999999999585</v>
      </c>
      <c r="H35" s="445">
        <f t="shared" si="7"/>
        <v>-1.5103399847922028</v>
      </c>
      <c r="K35" s="23"/>
      <c r="L35" s="9"/>
      <c r="M35" s="9"/>
    </row>
    <row r="36" spans="2:27">
      <c r="B36" s="491" t="s">
        <v>500</v>
      </c>
      <c r="C36" s="600"/>
      <c r="D36" s="445">
        <f t="shared" si="4"/>
        <v>0</v>
      </c>
      <c r="E36" s="600"/>
      <c r="F36" s="445">
        <f t="shared" si="5"/>
        <v>0</v>
      </c>
      <c r="G36" s="445">
        <f t="shared" si="6"/>
        <v>0</v>
      </c>
      <c r="H36" s="445" t="e">
        <f t="shared" si="7"/>
        <v>#DIV/0!</v>
      </c>
      <c r="K36" s="23"/>
      <c r="L36" s="9"/>
      <c r="M36" s="9"/>
    </row>
    <row r="37" spans="2:27">
      <c r="B37" s="2"/>
      <c r="C37" s="445"/>
      <c r="D37" s="445"/>
      <c r="E37" s="445"/>
      <c r="F37" s="445"/>
      <c r="G37" s="445"/>
      <c r="H37" s="445"/>
      <c r="K37" s="23"/>
      <c r="L37" s="9"/>
      <c r="M37" s="9"/>
    </row>
    <row r="38" spans="2:27">
      <c r="B38" s="487" t="s">
        <v>486</v>
      </c>
      <c r="C38" s="488">
        <f>SUM(C39:C44)</f>
        <v>8364.5227296899957</v>
      </c>
      <c r="D38" s="488">
        <f t="shared" ref="D38:D45" si="8">C38/C$48*100</f>
        <v>32.100940208980774</v>
      </c>
      <c r="E38" s="488">
        <f>SUM(E39:E44)</f>
        <v>9149.0070798999986</v>
      </c>
      <c r="F38" s="488">
        <f t="shared" ref="F38:F45" si="9">E38/E$48*100</f>
        <v>34.081241659992465</v>
      </c>
      <c r="G38" s="445">
        <f t="shared" ref="G38:G45" si="10">+E38-C38</f>
        <v>784.48435021000296</v>
      </c>
      <c r="H38" s="445">
        <f t="shared" ref="H38:H45" si="11">+G38/C38*100</f>
        <v>9.3787102451818836</v>
      </c>
      <c r="K38" s="23"/>
      <c r="L38" s="9"/>
      <c r="M38" s="9"/>
      <c r="X38" t="s">
        <v>804</v>
      </c>
      <c r="Z38">
        <v>1072.673</v>
      </c>
      <c r="AA38">
        <f>+V38-Z38</f>
        <v>-1072.673</v>
      </c>
    </row>
    <row r="39" spans="2:27">
      <c r="B39" s="489" t="s">
        <v>499</v>
      </c>
      <c r="C39" s="600">
        <f xml:space="preserve"> 0 + 0 + 0 + 0 + 0 + 315 + 0 + 100.2  +82.50551852 + 236.3 + 143.7  + 100.9 + 1072.673 +  (27.7647580829944)</f>
        <v>2079.0432766029944</v>
      </c>
      <c r="D39" s="600">
        <f t="shared" si="8"/>
        <v>7.9788466205279462</v>
      </c>
      <c r="E39" s="600">
        <f xml:space="preserve"> 6.84252625 + 0 + 0 + 0 + 0 + 315 + 168 + 91.52679287 + 69.27612458 + 236.3 + 136.22812549 + 100.9 + 1181.339</f>
        <v>2305.4125691899999</v>
      </c>
      <c r="F39" s="445">
        <f t="shared" si="9"/>
        <v>8.5879617547970355</v>
      </c>
      <c r="G39" s="445">
        <f t="shared" si="10"/>
        <v>226.36929258700548</v>
      </c>
      <c r="H39" s="445">
        <f t="shared" si="11"/>
        <v>10.888147213408489</v>
      </c>
      <c r="K39" s="23"/>
      <c r="L39" s="9"/>
      <c r="M39" s="9"/>
      <c r="X39" t="s">
        <v>805</v>
      </c>
      <c r="Z39">
        <v>99.209000000000003</v>
      </c>
      <c r="AA39">
        <f t="shared" ref="AA39:AA47" si="12">+V39-Z39</f>
        <v>-99.209000000000003</v>
      </c>
    </row>
    <row r="40" spans="2:27">
      <c r="B40" s="489" t="s">
        <v>501</v>
      </c>
      <c r="C40" s="600">
        <v>4739.8</v>
      </c>
      <c r="D40" s="600">
        <f t="shared" si="8"/>
        <v>18.190163541843365</v>
      </c>
      <c r="E40" s="600">
        <v>5082.7</v>
      </c>
      <c r="F40" s="445">
        <f t="shared" si="9"/>
        <v>18.933718760127697</v>
      </c>
      <c r="G40" s="445">
        <f t="shared" si="10"/>
        <v>342.89999999999964</v>
      </c>
      <c r="H40" s="445">
        <f t="shared" si="11"/>
        <v>7.2344824676146597</v>
      </c>
      <c r="K40" s="23"/>
      <c r="L40" s="9"/>
      <c r="M40" s="9"/>
      <c r="X40" t="s">
        <v>806</v>
      </c>
      <c r="Z40">
        <v>329.41</v>
      </c>
      <c r="AA40">
        <f t="shared" si="12"/>
        <v>-329.41</v>
      </c>
    </row>
    <row r="41" spans="2:27">
      <c r="B41" s="489" t="s">
        <v>442</v>
      </c>
      <c r="C41" s="600">
        <f>704.32385715 +-0.00614284999999959</f>
        <v>704.31771430000003</v>
      </c>
      <c r="D41" s="600">
        <f t="shared" si="8"/>
        <v>2.7029947273164079</v>
      </c>
      <c r="E41" s="600">
        <f>704.32385715 + 0</f>
        <v>704.32385714999998</v>
      </c>
      <c r="F41" s="445">
        <f t="shared" si="9"/>
        <v>2.6236980005364186</v>
      </c>
      <c r="G41" s="445">
        <f t="shared" si="10"/>
        <v>6.1428499999465203E-3</v>
      </c>
      <c r="H41" s="445">
        <f t="shared" si="11"/>
        <v>8.7217031110053966E-4</v>
      </c>
      <c r="K41" s="23"/>
      <c r="L41" s="9"/>
      <c r="M41" s="9"/>
      <c r="X41" t="s">
        <v>807</v>
      </c>
      <c r="Z41">
        <v>80.296999999999997</v>
      </c>
      <c r="AA41">
        <f t="shared" si="12"/>
        <v>-80.296999999999997</v>
      </c>
    </row>
    <row r="42" spans="2:27">
      <c r="B42" s="489" t="s">
        <v>500</v>
      </c>
      <c r="C42" s="600">
        <v>808.0663593300003</v>
      </c>
      <c r="D42" s="600">
        <f t="shared" si="8"/>
        <v>3.1011560042353414</v>
      </c>
      <c r="E42" s="600">
        <v>802.37722732999976</v>
      </c>
      <c r="F42" s="445">
        <f t="shared" si="9"/>
        <v>2.9889595612169244</v>
      </c>
      <c r="G42" s="445">
        <f t="shared" si="10"/>
        <v>-5.6891320000005408</v>
      </c>
      <c r="H42" s="445">
        <f t="shared" si="11"/>
        <v>-0.70404267351478711</v>
      </c>
      <c r="K42" s="23"/>
      <c r="L42" s="9"/>
      <c r="M42" s="9"/>
      <c r="X42" t="s">
        <v>808</v>
      </c>
      <c r="Z42">
        <v>135.24600000000001</v>
      </c>
      <c r="AA42">
        <f t="shared" si="12"/>
        <v>-135.24600000000001</v>
      </c>
    </row>
    <row r="43" spans="2:27">
      <c r="B43" s="489" t="s">
        <v>803</v>
      </c>
      <c r="C43" s="600"/>
      <c r="D43" s="600"/>
      <c r="E43" s="600">
        <v>225.6</v>
      </c>
      <c r="F43" s="445"/>
      <c r="G43" s="445"/>
      <c r="H43" s="445"/>
      <c r="K43" s="23"/>
      <c r="L43" s="9"/>
      <c r="M43" s="9"/>
      <c r="X43" t="s">
        <v>809</v>
      </c>
      <c r="Z43">
        <v>24.024999999999999</v>
      </c>
      <c r="AA43">
        <f t="shared" si="12"/>
        <v>-24.024999999999999</v>
      </c>
    </row>
    <row r="44" spans="2:27">
      <c r="B44" s="489" t="s">
        <v>492</v>
      </c>
      <c r="C44" s="600">
        <f>841.36201539 - 808.066635933</f>
        <v>33.295379456999967</v>
      </c>
      <c r="D44" s="600">
        <f t="shared" si="8"/>
        <v>0.12777931505771578</v>
      </c>
      <c r="E44" s="600">
        <f xml:space="preserve"> 22.9 -0.00759983 +5.21912663 + 0.48189943</f>
        <v>28.593426229999999</v>
      </c>
      <c r="F44" s="445">
        <f t="shared" si="9"/>
        <v>0.10651423271632761</v>
      </c>
      <c r="G44" s="445">
        <f t="shared" si="10"/>
        <v>-4.7019532269999686</v>
      </c>
      <c r="H44" s="445">
        <f t="shared" si="11"/>
        <v>-14.121939150963595</v>
      </c>
      <c r="K44" s="23"/>
      <c r="L44" s="9"/>
      <c r="M44" s="9"/>
      <c r="X44" t="s">
        <v>810</v>
      </c>
      <c r="Z44">
        <v>58.23</v>
      </c>
      <c r="AA44">
        <f t="shared" si="12"/>
        <v>-58.23</v>
      </c>
    </row>
    <row r="45" spans="2:27" ht="21" customHeight="1" thickBot="1">
      <c r="B45" s="492" t="s">
        <v>502</v>
      </c>
      <c r="C45" s="493">
        <f>+C22+C38</f>
        <v>17491.469729689998</v>
      </c>
      <c r="D45" s="493">
        <f t="shared" si="8"/>
        <v>67.127873532694167</v>
      </c>
      <c r="E45" s="493">
        <f>+E22+E38</f>
        <v>18388.523079899998</v>
      </c>
      <c r="F45" s="493">
        <f t="shared" si="9"/>
        <v>68.499640822583217</v>
      </c>
      <c r="G45" s="445">
        <f t="shared" si="10"/>
        <v>897.05335021000064</v>
      </c>
      <c r="H45" s="445">
        <f t="shared" si="11"/>
        <v>5.12851900996829</v>
      </c>
      <c r="K45" s="23"/>
      <c r="L45" s="9"/>
      <c r="M45" s="9"/>
      <c r="X45" t="s">
        <v>811</v>
      </c>
      <c r="Z45">
        <v>182.572</v>
      </c>
      <c r="AA45">
        <f t="shared" si="12"/>
        <v>-182.572</v>
      </c>
    </row>
    <row r="46" spans="2:27">
      <c r="B46" s="48" t="s">
        <v>503</v>
      </c>
      <c r="C46" s="445"/>
      <c r="D46" s="445"/>
      <c r="E46" s="445"/>
      <c r="F46" s="445"/>
      <c r="G46" s="2"/>
      <c r="H46" s="2"/>
      <c r="K46" s="23"/>
      <c r="L46" s="9"/>
      <c r="M46" s="9"/>
      <c r="X46" t="s">
        <v>812</v>
      </c>
      <c r="Z46">
        <v>62.322000000000003</v>
      </c>
      <c r="AA46">
        <f t="shared" si="12"/>
        <v>-62.322000000000003</v>
      </c>
    </row>
    <row r="47" spans="2:27">
      <c r="B47" s="2"/>
      <c r="C47" s="445"/>
      <c r="D47" s="445"/>
      <c r="E47" s="445"/>
      <c r="F47" s="445"/>
      <c r="G47" s="2"/>
      <c r="H47" s="2"/>
      <c r="K47" s="23"/>
      <c r="L47" s="9"/>
      <c r="M47" s="9"/>
      <c r="X47" t="s">
        <v>813</v>
      </c>
      <c r="Z47">
        <v>101.36199999999999</v>
      </c>
      <c r="AA47">
        <f t="shared" si="12"/>
        <v>-101.36199999999999</v>
      </c>
    </row>
    <row r="48" spans="2:27">
      <c r="B48" s="234" t="s">
        <v>194</v>
      </c>
      <c r="C48" s="488">
        <v>26056.94</v>
      </c>
      <c r="D48" s="445"/>
      <c r="E48" s="488">
        <v>26844.7</v>
      </c>
      <c r="F48" s="445"/>
      <c r="G48" s="2"/>
      <c r="H48" s="2"/>
      <c r="K48" s="23"/>
      <c r="L48" s="9"/>
      <c r="M48" s="9"/>
    </row>
    <row r="49" spans="2:13">
      <c r="K49" s="23"/>
      <c r="L49" s="9"/>
      <c r="M49" s="9"/>
    </row>
    <row r="50" spans="2:13">
      <c r="B50" s="9"/>
      <c r="K50" s="23"/>
      <c r="L50" s="9"/>
      <c r="M50" s="9"/>
    </row>
    <row r="51" spans="2:13">
      <c r="B51" s="9"/>
      <c r="K51" s="23"/>
      <c r="L51" s="9"/>
      <c r="M51" s="9"/>
    </row>
    <row r="52" spans="2:13">
      <c r="B52" s="9"/>
      <c r="K52" s="23"/>
      <c r="L52" s="9"/>
      <c r="M52" s="9"/>
    </row>
    <row r="53" spans="2:13">
      <c r="B53" s="9"/>
      <c r="K53" s="23"/>
      <c r="L53" s="9"/>
      <c r="M53" s="9"/>
    </row>
    <row r="54" spans="2:13">
      <c r="B54" s="9"/>
      <c r="K54" s="23"/>
      <c r="L54" s="9"/>
      <c r="M54" s="9"/>
    </row>
    <row r="55" spans="2:13">
      <c r="B55" s="9"/>
      <c r="K55" s="23"/>
      <c r="L55" s="9"/>
      <c r="M55" s="9"/>
    </row>
    <row r="56" spans="2:13">
      <c r="B56" s="9"/>
      <c r="K56" s="23"/>
      <c r="L56" s="9"/>
      <c r="M56" s="9"/>
    </row>
    <row r="57" spans="2:13">
      <c r="B57" s="9"/>
      <c r="K57" s="23"/>
      <c r="L57" s="9"/>
      <c r="M57" s="9"/>
    </row>
    <row r="58" spans="2:13">
      <c r="B58" s="9"/>
      <c r="K58" s="23"/>
      <c r="L58" s="9"/>
      <c r="M58" s="9"/>
    </row>
    <row r="59" spans="2:13">
      <c r="B59" s="9"/>
      <c r="K59" s="23"/>
      <c r="L59" s="9"/>
      <c r="M59" s="9"/>
    </row>
    <row r="60" spans="2:13">
      <c r="B60" s="9"/>
      <c r="K60" s="23"/>
      <c r="L60" s="9"/>
      <c r="M60" s="9"/>
    </row>
    <row r="61" spans="2:13">
      <c r="B61" s="9"/>
      <c r="K61" s="23"/>
      <c r="L61" s="9"/>
      <c r="M61" s="9"/>
    </row>
    <row r="62" spans="2:13">
      <c r="B62" s="9"/>
      <c r="K62" s="23"/>
      <c r="L62" s="9"/>
      <c r="M62" s="9"/>
    </row>
    <row r="63" spans="2:13">
      <c r="B63" s="9"/>
      <c r="K63" s="23"/>
      <c r="L63" s="9"/>
      <c r="M63" s="9"/>
    </row>
    <row r="64" spans="2:13">
      <c r="B64" s="9"/>
      <c r="K64" s="23"/>
      <c r="L64" s="9"/>
      <c r="M64" s="9"/>
    </row>
    <row r="65" spans="2:13">
      <c r="B65" s="9"/>
      <c r="K65" s="9"/>
      <c r="L65" s="9"/>
      <c r="M65" s="9"/>
    </row>
    <row r="66" spans="2:13">
      <c r="B66" s="9"/>
      <c r="K66" s="9"/>
      <c r="L66" s="9"/>
      <c r="M66" s="9"/>
    </row>
    <row r="67" spans="2:13">
      <c r="B67" s="9"/>
      <c r="K67" s="9"/>
      <c r="L67" s="9"/>
      <c r="M67" s="9"/>
    </row>
    <row r="69" spans="2:13">
      <c r="C69" s="9"/>
    </row>
    <row r="70" spans="2:13">
      <c r="C70" s="9"/>
    </row>
    <row r="71" spans="2:13">
      <c r="C71" s="9"/>
    </row>
    <row r="72" spans="2:13">
      <c r="C72" s="9"/>
    </row>
  </sheetData>
  <mergeCells count="5">
    <mergeCell ref="B5:B6"/>
    <mergeCell ref="C5:D5"/>
    <mergeCell ref="E5:F5"/>
    <mergeCell ref="B7:F7"/>
    <mergeCell ref="B21:F21"/>
  </mergeCells>
  <printOptions horizontalCentered="1"/>
  <pageMargins left="0.7" right="0.7" top="0.75" bottom="0.75" header="0.3" footer="0.3"/>
  <pageSetup scale="89" orientation="portrait" r:id="rId1"/>
  <ignoredErrors>
    <ignoredError sqref="D38:E38 D45:E45 D28:E28 D22:D23 D19:E19 D13:E13 D8:E8 E22:E23 E33:E34 D41:E41 D34 E27 E44 E39 D20:E20 E14" formula="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B2:AF12"/>
  <sheetViews>
    <sheetView workbookViewId="0">
      <pane xSplit="2" ySplit="5" topLeftCell="U6" activePane="bottomRight" state="frozen"/>
      <selection pane="topRight" activeCell="C1" sqref="C1"/>
      <selection pane="bottomLeft" activeCell="A6" sqref="A6"/>
      <selection pane="bottomRight" activeCell="AF6" sqref="AF6"/>
    </sheetView>
  </sheetViews>
  <sheetFormatPr baseColWidth="10" defaultRowHeight="15"/>
  <cols>
    <col min="2" max="2" width="18" customWidth="1"/>
    <col min="3" max="31" width="9.7109375" customWidth="1"/>
  </cols>
  <sheetData>
    <row r="2" spans="2:32">
      <c r="B2" s="219" t="s">
        <v>789</v>
      </c>
    </row>
    <row r="3" spans="2:32">
      <c r="B3" t="s">
        <v>235</v>
      </c>
    </row>
    <row r="5" spans="2:32">
      <c r="C5" s="601">
        <v>1990</v>
      </c>
      <c r="D5" s="601">
        <v>1991</v>
      </c>
      <c r="E5" s="601">
        <v>1992</v>
      </c>
      <c r="F5" s="601">
        <v>1993</v>
      </c>
      <c r="G5" s="601">
        <v>1994</v>
      </c>
      <c r="H5" s="601">
        <v>1995</v>
      </c>
      <c r="I5" s="601">
        <v>1996</v>
      </c>
      <c r="J5" s="601">
        <v>1997</v>
      </c>
      <c r="K5" s="601">
        <v>1998</v>
      </c>
      <c r="L5" s="601">
        <v>1999</v>
      </c>
      <c r="M5" s="601">
        <v>2000</v>
      </c>
      <c r="N5" s="601">
        <v>2001</v>
      </c>
      <c r="O5" s="601">
        <v>2002</v>
      </c>
      <c r="P5" s="601">
        <v>2003</v>
      </c>
      <c r="Q5" s="601">
        <v>2004</v>
      </c>
      <c r="R5" s="601">
        <v>2005</v>
      </c>
      <c r="S5" s="601">
        <v>2006</v>
      </c>
      <c r="T5" s="601">
        <v>2007</v>
      </c>
      <c r="U5" s="601">
        <v>2008</v>
      </c>
      <c r="V5" s="601">
        <v>2009</v>
      </c>
      <c r="W5" s="601">
        <v>2010</v>
      </c>
      <c r="X5" s="601">
        <v>2011</v>
      </c>
      <c r="Y5" s="601">
        <v>2012</v>
      </c>
      <c r="Z5" s="601">
        <v>2013</v>
      </c>
      <c r="AA5" s="601">
        <v>2014</v>
      </c>
      <c r="AB5" s="601">
        <v>2015</v>
      </c>
      <c r="AC5" s="601">
        <v>2016</v>
      </c>
      <c r="AD5" s="601">
        <v>2017</v>
      </c>
      <c r="AE5" s="601">
        <v>2018</v>
      </c>
      <c r="AF5" s="601" t="s">
        <v>773</v>
      </c>
    </row>
    <row r="6" spans="2:32">
      <c r="B6" t="s">
        <v>672</v>
      </c>
      <c r="C6" s="23"/>
      <c r="D6" s="23">
        <v>2657.4</v>
      </c>
      <c r="E6" s="23">
        <v>2487.8000000000002</v>
      </c>
      <c r="F6" s="23">
        <v>2550.1999999999998</v>
      </c>
      <c r="G6" s="23">
        <v>2780.8</v>
      </c>
      <c r="H6" s="23">
        <v>2962.4</v>
      </c>
      <c r="I6" s="23">
        <v>3198.1</v>
      </c>
      <c r="J6" s="23">
        <v>3313.8</v>
      </c>
      <c r="K6" s="23">
        <v>3248.2</v>
      </c>
      <c r="L6" s="23">
        <v>3507</v>
      </c>
      <c r="M6" s="23">
        <v>3834</v>
      </c>
      <c r="N6" s="23">
        <v>4668.8</v>
      </c>
      <c r="O6" s="23">
        <v>5544.1</v>
      </c>
      <c r="P6" s="23">
        <v>6084.9</v>
      </c>
      <c r="Q6" s="23">
        <v>6404.3</v>
      </c>
      <c r="R6" s="23">
        <v>6756.9</v>
      </c>
      <c r="S6" s="23">
        <v>7474.9</v>
      </c>
      <c r="T6" s="23">
        <v>7895.1</v>
      </c>
      <c r="U6" s="23">
        <v>8769</v>
      </c>
      <c r="V6" s="23">
        <v>10336.799999999999</v>
      </c>
      <c r="W6" s="23">
        <v>11023.5</v>
      </c>
      <c r="X6" s="23">
        <v>11928.8</v>
      </c>
      <c r="Y6" s="23">
        <v>13480.130000000001</v>
      </c>
      <c r="Z6" s="23">
        <v>13767.8</v>
      </c>
      <c r="AA6" s="23">
        <v>14592.6</v>
      </c>
      <c r="AB6" s="23">
        <v>15506.54</v>
      </c>
      <c r="AC6" s="23">
        <v>16322.96</v>
      </c>
      <c r="AD6" s="23">
        <v>17290.782645460004</v>
      </c>
      <c r="AE6" s="23">
        <v>18084.194728559996</v>
      </c>
      <c r="AF6" s="23">
        <v>18388.523079900002</v>
      </c>
    </row>
    <row r="7" spans="2:32">
      <c r="B7" t="s">
        <v>674</v>
      </c>
      <c r="C7" s="23"/>
      <c r="D7" s="23"/>
      <c r="E7" s="23"/>
      <c r="F7" s="23"/>
      <c r="G7" s="23"/>
      <c r="H7" s="23"/>
      <c r="I7" s="23"/>
      <c r="J7" s="23"/>
      <c r="K7" s="23"/>
      <c r="L7" s="23"/>
      <c r="M7" s="23"/>
      <c r="N7" s="23"/>
      <c r="O7" s="23"/>
      <c r="P7" s="23"/>
      <c r="Q7" s="23"/>
      <c r="R7" s="23"/>
      <c r="S7" s="23">
        <f>S6-S12</f>
        <v>7384.0999999999995</v>
      </c>
      <c r="T7" s="23">
        <f t="shared" ref="T7:AF7" si="0">T6-T12</f>
        <v>7425.8</v>
      </c>
      <c r="U7" s="23">
        <f t="shared" si="0"/>
        <v>7883.8</v>
      </c>
      <c r="V7" s="23">
        <f t="shared" si="0"/>
        <v>9273.6999999999989</v>
      </c>
      <c r="W7" s="23">
        <f t="shared" si="0"/>
        <v>9616.2000000000007</v>
      </c>
      <c r="X7" s="23">
        <f t="shared" si="0"/>
        <v>10131.9</v>
      </c>
      <c r="Y7" s="23">
        <f t="shared" si="0"/>
        <v>11286.730000000001</v>
      </c>
      <c r="Z7" s="23">
        <f t="shared" si="0"/>
        <v>11159.5</v>
      </c>
      <c r="AA7" s="23">
        <f t="shared" si="0"/>
        <v>11552.6</v>
      </c>
      <c r="AB7" s="23">
        <f t="shared" si="0"/>
        <v>12027.84</v>
      </c>
      <c r="AC7" s="23">
        <f t="shared" si="0"/>
        <v>12307.06</v>
      </c>
      <c r="AD7" s="23">
        <f t="shared" ref="AD7" si="1">AD6-AD12</f>
        <v>12717.182645460003</v>
      </c>
      <c r="AE7" s="23">
        <f t="shared" si="0"/>
        <v>13162.694728559996</v>
      </c>
      <c r="AF7" s="23">
        <f t="shared" si="0"/>
        <v>13305.823079900001</v>
      </c>
    </row>
    <row r="8" spans="2:32">
      <c r="B8" t="s">
        <v>691</v>
      </c>
      <c r="C8" s="618"/>
      <c r="D8" s="618">
        <f>+D6/D10</f>
        <v>0.50594592124653015</v>
      </c>
      <c r="E8" s="618">
        <f t="shared" ref="E8:AF8" si="2">+E6/E10</f>
        <v>0.42794234011077859</v>
      </c>
      <c r="F8" s="618">
        <f t="shared" si="2"/>
        <v>0.38175103700898311</v>
      </c>
      <c r="G8" s="618">
        <f t="shared" si="2"/>
        <v>0.36211256637905664</v>
      </c>
      <c r="H8" s="618">
        <f t="shared" si="2"/>
        <v>0.3320350371835753</v>
      </c>
      <c r="I8" s="618">
        <f t="shared" si="2"/>
        <v>0.33361046406706213</v>
      </c>
      <c r="J8" s="618">
        <f t="shared" si="2"/>
        <v>0.32419233181140927</v>
      </c>
      <c r="K8" s="618">
        <f t="shared" si="2"/>
        <v>0.29700082383394577</v>
      </c>
      <c r="L8" s="618">
        <f t="shared" si="2"/>
        <v>0.31078853618333596</v>
      </c>
      <c r="M8" s="618">
        <f t="shared" si="2"/>
        <v>0.32533074019107455</v>
      </c>
      <c r="N8" s="618">
        <f t="shared" si="2"/>
        <v>0.38011712570618594</v>
      </c>
      <c r="O8" s="618">
        <f t="shared" si="2"/>
        <v>0.4377777023244282</v>
      </c>
      <c r="P8" s="618">
        <f t="shared" si="2"/>
        <v>0.45944960279796948</v>
      </c>
      <c r="Q8" s="618">
        <f t="shared" si="2"/>
        <v>0.46662212445928214</v>
      </c>
      <c r="R8" s="618">
        <f t="shared" si="2"/>
        <v>0.45971560756565516</v>
      </c>
      <c r="S8" s="618">
        <f t="shared" si="2"/>
        <v>0.46718446189317553</v>
      </c>
      <c r="T8" s="618">
        <f t="shared" si="2"/>
        <v>0.46409687421928963</v>
      </c>
      <c r="U8" s="618">
        <f t="shared" si="2"/>
        <v>0.48752174500427814</v>
      </c>
      <c r="V8" s="618">
        <f t="shared" si="2"/>
        <v>0.58726412682468998</v>
      </c>
      <c r="W8" s="618">
        <f t="shared" si="2"/>
        <v>0.597547040533567</v>
      </c>
      <c r="X8" s="618">
        <f t="shared" si="2"/>
        <v>0.58809551276931615</v>
      </c>
      <c r="Y8" s="618">
        <f t="shared" si="2"/>
        <v>0.63032055793118447</v>
      </c>
      <c r="Z8" s="618">
        <f t="shared" si="2"/>
        <v>0.62606634726269339</v>
      </c>
      <c r="AA8" s="618">
        <f t="shared" si="2"/>
        <v>0.64587688389609921</v>
      </c>
      <c r="AB8" s="618">
        <f t="shared" si="2"/>
        <v>0.66159148468485685</v>
      </c>
      <c r="AC8" s="618">
        <f t="shared" si="2"/>
        <v>0.675783955608383</v>
      </c>
      <c r="AD8" s="618">
        <f t="shared" ref="AD8" si="3">+AD6/AD10</f>
        <v>0.6936297919750386</v>
      </c>
      <c r="AE8" s="618">
        <f t="shared" si="2"/>
        <v>0.69402603408381791</v>
      </c>
      <c r="AF8" s="618">
        <f t="shared" si="2"/>
        <v>0.6849964082258323</v>
      </c>
    </row>
    <row r="9" spans="2:32">
      <c r="B9" t="s">
        <v>692</v>
      </c>
      <c r="C9" s="618"/>
      <c r="D9" s="618"/>
      <c r="E9" s="618"/>
      <c r="F9" s="618"/>
      <c r="G9" s="618"/>
      <c r="H9" s="618"/>
      <c r="I9" s="618"/>
      <c r="J9" s="618"/>
      <c r="K9" s="618"/>
      <c r="L9" s="618"/>
      <c r="M9" s="618"/>
      <c r="N9" s="618"/>
      <c r="O9" s="618"/>
      <c r="P9" s="618"/>
      <c r="Q9" s="618"/>
      <c r="R9" s="618"/>
      <c r="S9" s="618">
        <f>S7/S10</f>
        <v>0.46150942287728225</v>
      </c>
      <c r="T9" s="618">
        <f t="shared" ref="T9:AF9" si="4">T7/T10</f>
        <v>0.43651005922377184</v>
      </c>
      <c r="U9" s="618">
        <f t="shared" si="4"/>
        <v>0.43830812330536301</v>
      </c>
      <c r="V9" s="618">
        <f t="shared" si="4"/>
        <v>0.52686627708131406</v>
      </c>
      <c r="W9" s="618">
        <f t="shared" si="4"/>
        <v>0.52126201761499413</v>
      </c>
      <c r="X9" s="618">
        <f t="shared" si="4"/>
        <v>0.49950748824923169</v>
      </c>
      <c r="Y9" s="618">
        <f t="shared" si="4"/>
        <v>0.52775885327653649</v>
      </c>
      <c r="Z9" s="618">
        <f t="shared" si="4"/>
        <v>0.50745851931884745</v>
      </c>
      <c r="AA9" s="618">
        <f t="shared" si="4"/>
        <v>0.51132473232310038</v>
      </c>
      <c r="AB9" s="618">
        <f t="shared" si="4"/>
        <v>0.51317163746083316</v>
      </c>
      <c r="AC9" s="618">
        <f t="shared" si="4"/>
        <v>0.50952239598147064</v>
      </c>
      <c r="AD9" s="618">
        <f t="shared" ref="AD9" si="5">AD7/AD10</f>
        <v>0.51015717065850141</v>
      </c>
      <c r="AE9" s="618">
        <f t="shared" si="4"/>
        <v>0.50515120841357419</v>
      </c>
      <c r="AF9" s="618">
        <f t="shared" si="4"/>
        <v>0.49565922062455536</v>
      </c>
    </row>
    <row r="10" spans="2:32">
      <c r="B10" t="s">
        <v>194</v>
      </c>
      <c r="C10" s="617">
        <v>4817.54</v>
      </c>
      <c r="D10" s="617">
        <v>5252.34</v>
      </c>
      <c r="E10" s="617">
        <v>5813.4</v>
      </c>
      <c r="F10" s="617">
        <v>6680.27</v>
      </c>
      <c r="G10" s="617">
        <v>7679.38</v>
      </c>
      <c r="H10" s="617">
        <v>8921.9500000000007</v>
      </c>
      <c r="I10" s="617">
        <v>9586.33</v>
      </c>
      <c r="J10" s="617">
        <v>10221.709999999999</v>
      </c>
      <c r="K10" s="617">
        <v>10936.67</v>
      </c>
      <c r="L10" s="617">
        <v>11284.2</v>
      </c>
      <c r="M10" s="617">
        <v>11784.93</v>
      </c>
      <c r="N10" s="617">
        <v>12282.53</v>
      </c>
      <c r="O10" s="617">
        <v>12664.19</v>
      </c>
      <c r="P10" s="617">
        <v>13243.89</v>
      </c>
      <c r="Q10" s="617">
        <v>13724.81</v>
      </c>
      <c r="R10" s="617">
        <v>14698</v>
      </c>
      <c r="S10" s="617">
        <v>15999.89</v>
      </c>
      <c r="T10" s="617">
        <v>17011.75</v>
      </c>
      <c r="U10" s="617">
        <v>17986.89</v>
      </c>
      <c r="V10" s="617">
        <v>17601.62</v>
      </c>
      <c r="W10" s="617">
        <v>18447.919999999998</v>
      </c>
      <c r="X10" s="617">
        <v>20283.78</v>
      </c>
      <c r="Y10" s="617">
        <v>21386.15</v>
      </c>
      <c r="Z10" s="617">
        <v>21990.959999999999</v>
      </c>
      <c r="AA10" s="617">
        <v>22593.47</v>
      </c>
      <c r="AB10" s="617">
        <v>23438.240000000002</v>
      </c>
      <c r="AC10" s="617">
        <v>24154.11</v>
      </c>
      <c r="AD10" s="617">
        <v>24927.97</v>
      </c>
      <c r="AE10" s="617">
        <v>26056.94</v>
      </c>
      <c r="AF10" s="617">
        <v>26844.7</v>
      </c>
    </row>
    <row r="12" spans="2:32">
      <c r="B12" t="s">
        <v>690</v>
      </c>
      <c r="S12" s="23">
        <v>90.8</v>
      </c>
      <c r="T12" s="23">
        <v>469.3</v>
      </c>
      <c r="U12" s="23">
        <v>885.2</v>
      </c>
      <c r="V12" s="23">
        <v>1063.0999999999999</v>
      </c>
      <c r="W12" s="23">
        <v>1407.3</v>
      </c>
      <c r="X12" s="23">
        <v>1796.9</v>
      </c>
      <c r="Y12" s="23">
        <v>2193.4</v>
      </c>
      <c r="Z12" s="23">
        <v>2608.3000000000002</v>
      </c>
      <c r="AA12" s="23">
        <v>3040</v>
      </c>
      <c r="AB12" s="23">
        <v>3478.7</v>
      </c>
      <c r="AC12" s="23">
        <v>4015.9</v>
      </c>
      <c r="AD12" s="23">
        <v>4573.6000000000004</v>
      </c>
      <c r="AE12" s="23">
        <v>4921.5</v>
      </c>
      <c r="AF12" s="23">
        <v>5082.7</v>
      </c>
    </row>
  </sheetData>
  <printOptions horizontalCentered="1"/>
  <pageMargins left="0.7" right="0.7" top="0.75" bottom="0.75" header="0.3" footer="0.3"/>
  <pageSetup scale="4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B2:O2"/>
  <sheetViews>
    <sheetView topLeftCell="A7" workbookViewId="0">
      <selection activeCell="P24" sqref="P24"/>
    </sheetView>
  </sheetViews>
  <sheetFormatPr baseColWidth="10" defaultRowHeight="15"/>
  <sheetData>
    <row r="2" spans="2:15" ht="23.25">
      <c r="B2" s="659" t="s">
        <v>799</v>
      </c>
      <c r="C2" s="655"/>
      <c r="D2" s="655"/>
      <c r="E2" s="655"/>
      <c r="F2" s="655"/>
      <c r="G2" s="655"/>
      <c r="H2" s="655"/>
      <c r="I2" s="655"/>
      <c r="J2" s="655"/>
      <c r="K2" s="655"/>
      <c r="L2" s="655"/>
      <c r="M2" s="655"/>
      <c r="N2" s="655"/>
      <c r="O2" s="655"/>
    </row>
  </sheetData>
  <printOptions horizontalCentered="1"/>
  <pageMargins left="0.7" right="0.7" top="0.75" bottom="0.75" header="0.3" footer="0.3"/>
  <pageSetup scale="71"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B2:G49"/>
  <sheetViews>
    <sheetView workbookViewId="0">
      <selection activeCell="B53" sqref="B53"/>
    </sheetView>
  </sheetViews>
  <sheetFormatPr baseColWidth="10" defaultRowHeight="15"/>
  <cols>
    <col min="2" max="2" width="41.28515625" customWidth="1"/>
    <col min="3" max="3" width="12.7109375" customWidth="1"/>
  </cols>
  <sheetData>
    <row r="2" spans="2:6" ht="15.75">
      <c r="B2" s="56" t="s">
        <v>435</v>
      </c>
    </row>
    <row r="4" spans="2:6">
      <c r="B4" s="209" t="s">
        <v>797</v>
      </c>
      <c r="F4" s="9"/>
    </row>
    <row r="5" spans="2:6">
      <c r="B5" s="209" t="s">
        <v>436</v>
      </c>
      <c r="F5" s="9"/>
    </row>
    <row r="6" spans="2:6">
      <c r="C6" s="209" t="s">
        <v>437</v>
      </c>
      <c r="D6" t="s">
        <v>438</v>
      </c>
      <c r="F6" s="9"/>
    </row>
    <row r="7" spans="2:6">
      <c r="B7" t="s">
        <v>439</v>
      </c>
      <c r="C7" s="23">
        <v>7478.3</v>
      </c>
      <c r="F7" s="9"/>
    </row>
    <row r="8" spans="2:6">
      <c r="B8" t="s">
        <v>440</v>
      </c>
      <c r="C8" s="23">
        <v>3707.4</v>
      </c>
      <c r="F8" s="9"/>
    </row>
    <row r="9" spans="2:6">
      <c r="B9" t="s">
        <v>441</v>
      </c>
      <c r="C9" s="23">
        <v>352.4</v>
      </c>
      <c r="F9" s="9"/>
    </row>
    <row r="10" spans="2:6">
      <c r="B10" t="s">
        <v>442</v>
      </c>
      <c r="C10" s="23">
        <v>704.3</v>
      </c>
      <c r="F10" s="9"/>
    </row>
    <row r="11" spans="2:6">
      <c r="B11" t="s">
        <v>231</v>
      </c>
      <c r="C11" s="23">
        <v>35.4</v>
      </c>
      <c r="F11" s="9"/>
    </row>
    <row r="12" spans="2:6">
      <c r="B12" t="s">
        <v>121</v>
      </c>
      <c r="C12" s="223">
        <f>SUM(C7:C11)</f>
        <v>12277.8</v>
      </c>
      <c r="F12" s="9"/>
    </row>
    <row r="13" spans="2:6">
      <c r="B13" s="209" t="s">
        <v>798</v>
      </c>
      <c r="F13" s="9"/>
    </row>
    <row r="14" spans="2:6">
      <c r="B14" t="s">
        <v>443</v>
      </c>
      <c r="F14" s="9"/>
    </row>
    <row r="15" spans="2:6">
      <c r="F15" s="9"/>
    </row>
    <row r="16" spans="2:6">
      <c r="F16" s="9"/>
    </row>
    <row r="17" spans="2:7">
      <c r="B17" s="209" t="s">
        <v>628</v>
      </c>
      <c r="D17" t="s">
        <v>444</v>
      </c>
      <c r="F17" s="9"/>
    </row>
    <row r="18" spans="2:7">
      <c r="C18" s="209" t="s">
        <v>445</v>
      </c>
      <c r="F18" s="9"/>
    </row>
    <row r="19" spans="2:7">
      <c r="B19" t="s">
        <v>446</v>
      </c>
      <c r="C19" s="23">
        <v>428.8</v>
      </c>
      <c r="F19" s="9"/>
    </row>
    <row r="20" spans="2:7">
      <c r="B20" t="s">
        <v>447</v>
      </c>
      <c r="C20" s="23">
        <v>5207.8999999999996</v>
      </c>
      <c r="F20" s="9"/>
    </row>
    <row r="21" spans="2:7">
      <c r="B21" t="s">
        <v>448</v>
      </c>
      <c r="C21" s="23">
        <v>5357.1</v>
      </c>
      <c r="F21" s="9"/>
    </row>
    <row r="22" spans="2:7">
      <c r="B22" t="s">
        <v>449</v>
      </c>
      <c r="C22" s="23">
        <v>1284</v>
      </c>
      <c r="F22" s="9"/>
    </row>
    <row r="23" spans="2:7">
      <c r="C23" s="223">
        <f>SUM(C19:C22)</f>
        <v>12277.8</v>
      </c>
      <c r="F23" s="9"/>
    </row>
    <row r="24" spans="2:7">
      <c r="F24" s="9"/>
    </row>
    <row r="25" spans="2:7">
      <c r="B25" t="s">
        <v>443</v>
      </c>
      <c r="F25" s="9"/>
    </row>
    <row r="26" spans="2:7">
      <c r="F26" s="9"/>
    </row>
    <row r="27" spans="2:7">
      <c r="F27" s="9"/>
      <c r="G27" s="9"/>
    </row>
    <row r="28" spans="2:7">
      <c r="B28" s="209" t="s">
        <v>450</v>
      </c>
      <c r="F28" s="9"/>
      <c r="G28" s="9"/>
    </row>
    <row r="29" spans="2:7">
      <c r="C29" s="209" t="s">
        <v>451</v>
      </c>
      <c r="D29" t="s">
        <v>444</v>
      </c>
      <c r="F29" s="9"/>
      <c r="G29" s="9"/>
    </row>
    <row r="30" spans="2:7">
      <c r="B30" t="s">
        <v>452</v>
      </c>
      <c r="C30" s="23">
        <v>2493.3000000000002</v>
      </c>
      <c r="F30" s="9"/>
      <c r="G30" s="9"/>
    </row>
    <row r="31" spans="2:7">
      <c r="B31" t="s">
        <v>453</v>
      </c>
      <c r="C31" s="23">
        <v>3923</v>
      </c>
      <c r="F31" s="9"/>
      <c r="G31" s="9"/>
    </row>
    <row r="32" spans="2:7">
      <c r="B32" t="s">
        <v>454</v>
      </c>
      <c r="C32" s="23">
        <v>4706.5</v>
      </c>
      <c r="F32" s="9"/>
      <c r="G32" s="9"/>
    </row>
    <row r="33" spans="2:7">
      <c r="B33" t="s">
        <v>455</v>
      </c>
      <c r="C33" s="23">
        <v>1155</v>
      </c>
      <c r="F33" s="9"/>
      <c r="G33" s="9"/>
    </row>
    <row r="34" spans="2:7">
      <c r="C34" s="223">
        <f>SUM(C30:C33)</f>
        <v>12277.8</v>
      </c>
      <c r="F34" s="9"/>
      <c r="G34" s="9"/>
    </row>
    <row r="35" spans="2:7">
      <c r="B35" s="209" t="s">
        <v>798</v>
      </c>
      <c r="F35" s="9"/>
      <c r="G35" s="9"/>
    </row>
    <row r="36" spans="2:7">
      <c r="B36" t="s">
        <v>443</v>
      </c>
      <c r="F36" s="9"/>
      <c r="G36" s="9"/>
    </row>
    <row r="37" spans="2:7">
      <c r="F37" s="9"/>
      <c r="G37" s="9"/>
    </row>
    <row r="38" spans="2:7">
      <c r="F38" s="9"/>
      <c r="G38" s="9"/>
    </row>
    <row r="39" spans="2:7">
      <c r="B39" s="209" t="s">
        <v>581</v>
      </c>
      <c r="F39" s="9"/>
    </row>
    <row r="40" spans="2:7">
      <c r="C40" s="601" t="s">
        <v>657</v>
      </c>
      <c r="D40" s="209" t="s">
        <v>582</v>
      </c>
      <c r="F40" s="9"/>
      <c r="G40" s="9"/>
    </row>
    <row r="41" spans="2:7">
      <c r="B41" t="s">
        <v>583</v>
      </c>
      <c r="C41" s="23">
        <v>11978.3</v>
      </c>
      <c r="D41" s="222">
        <f>+C41/C$45</f>
        <v>0.9756063789929792</v>
      </c>
      <c r="F41" s="9"/>
      <c r="G41" s="9"/>
    </row>
    <row r="42" spans="2:7">
      <c r="B42" t="s">
        <v>585</v>
      </c>
      <c r="C42" s="23">
        <v>146.1</v>
      </c>
      <c r="D42" s="222">
        <f>+C42/C$45</f>
        <v>1.1899525973708644E-2</v>
      </c>
      <c r="F42" s="9"/>
      <c r="G42" s="9"/>
    </row>
    <row r="43" spans="2:7">
      <c r="B43" t="s">
        <v>584</v>
      </c>
      <c r="C43" s="23">
        <v>109.4</v>
      </c>
      <c r="D43" s="222">
        <f>+C43/C$45</f>
        <v>8.9103911124142777E-3</v>
      </c>
      <c r="F43" s="9"/>
      <c r="G43" s="9"/>
    </row>
    <row r="44" spans="2:7">
      <c r="B44" t="s">
        <v>586</v>
      </c>
      <c r="C44" s="23">
        <v>44</v>
      </c>
      <c r="D44" s="222">
        <f>+C44/C$45</f>
        <v>3.5837039208978811E-3</v>
      </c>
      <c r="F44" s="9"/>
      <c r="G44" s="9"/>
    </row>
    <row r="45" spans="2:7">
      <c r="B45" t="s">
        <v>656</v>
      </c>
      <c r="C45" s="223">
        <f>SUM(C41:C44)</f>
        <v>12277.8</v>
      </c>
      <c r="D45" s="634">
        <f>SUM(D41:D44)</f>
        <v>1</v>
      </c>
      <c r="F45" s="9"/>
      <c r="G45" s="9"/>
    </row>
    <row r="46" spans="2:7">
      <c r="B46" s="661" t="s">
        <v>833</v>
      </c>
      <c r="F46" s="9"/>
      <c r="G46" s="9"/>
    </row>
    <row r="47" spans="2:7">
      <c r="B47" t="s">
        <v>443</v>
      </c>
      <c r="F47" s="9"/>
      <c r="G47" s="9"/>
    </row>
    <row r="48" spans="2:7">
      <c r="E48" s="9"/>
      <c r="F48" s="9"/>
      <c r="G48" s="9"/>
    </row>
    <row r="49" spans="6:6">
      <c r="F49" s="9"/>
    </row>
  </sheetData>
  <printOptions horizontalCentered="1"/>
  <pageMargins left="0.7" right="0.7" top="0.75" bottom="0.75" header="0.3" footer="0.3"/>
  <pageSetup scale="9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A2:H480"/>
  <sheetViews>
    <sheetView showGridLines="0" topLeftCell="A412" workbookViewId="0">
      <selection activeCell="J446" sqref="J446"/>
    </sheetView>
  </sheetViews>
  <sheetFormatPr baseColWidth="10" defaultRowHeight="12.75"/>
  <cols>
    <col min="1" max="1" width="9.7109375" style="505" customWidth="1"/>
    <col min="2" max="2" width="25.7109375" style="505" customWidth="1"/>
    <col min="3" max="8" width="14.7109375" style="505" customWidth="1"/>
    <col min="9" max="256" width="11.42578125" style="505"/>
    <col min="257" max="257" width="9.7109375" style="505" customWidth="1"/>
    <col min="258" max="258" width="40.7109375" style="505" customWidth="1"/>
    <col min="259" max="259" width="20.5703125" style="505" customWidth="1"/>
    <col min="260" max="260" width="20.7109375" style="505" customWidth="1"/>
    <col min="261" max="262" width="11.42578125" style="505"/>
    <col min="263" max="263" width="23.85546875" style="505" customWidth="1"/>
    <col min="264" max="264" width="15.85546875" style="505" customWidth="1"/>
    <col min="265" max="512" width="11.42578125" style="505"/>
    <col min="513" max="513" width="9.7109375" style="505" customWidth="1"/>
    <col min="514" max="514" width="40.7109375" style="505" customWidth="1"/>
    <col min="515" max="515" width="20.5703125" style="505" customWidth="1"/>
    <col min="516" max="516" width="20.7109375" style="505" customWidth="1"/>
    <col min="517" max="518" width="11.42578125" style="505"/>
    <col min="519" max="519" width="23.85546875" style="505" customWidth="1"/>
    <col min="520" max="520" width="15.85546875" style="505" customWidth="1"/>
    <col min="521" max="768" width="11.42578125" style="505"/>
    <col min="769" max="769" width="9.7109375" style="505" customWidth="1"/>
    <col min="770" max="770" width="40.7109375" style="505" customWidth="1"/>
    <col min="771" max="771" width="20.5703125" style="505" customWidth="1"/>
    <col min="772" max="772" width="20.7109375" style="505" customWidth="1"/>
    <col min="773" max="774" width="11.42578125" style="505"/>
    <col min="775" max="775" width="23.85546875" style="505" customWidth="1"/>
    <col min="776" max="776" width="15.85546875" style="505" customWidth="1"/>
    <col min="777" max="1024" width="11.42578125" style="505"/>
    <col min="1025" max="1025" width="9.7109375" style="505" customWidth="1"/>
    <col min="1026" max="1026" width="40.7109375" style="505" customWidth="1"/>
    <col min="1027" max="1027" width="20.5703125" style="505" customWidth="1"/>
    <col min="1028" max="1028" width="20.7109375" style="505" customWidth="1"/>
    <col min="1029" max="1030" width="11.42578125" style="505"/>
    <col min="1031" max="1031" width="23.85546875" style="505" customWidth="1"/>
    <col min="1032" max="1032" width="15.85546875" style="505" customWidth="1"/>
    <col min="1033" max="1280" width="11.42578125" style="505"/>
    <col min="1281" max="1281" width="9.7109375" style="505" customWidth="1"/>
    <col min="1282" max="1282" width="40.7109375" style="505" customWidth="1"/>
    <col min="1283" max="1283" width="20.5703125" style="505" customWidth="1"/>
    <col min="1284" max="1284" width="20.7109375" style="505" customWidth="1"/>
    <col min="1285" max="1286" width="11.42578125" style="505"/>
    <col min="1287" max="1287" width="23.85546875" style="505" customWidth="1"/>
    <col min="1288" max="1288" width="15.85546875" style="505" customWidth="1"/>
    <col min="1289" max="1536" width="11.42578125" style="505"/>
    <col min="1537" max="1537" width="9.7109375" style="505" customWidth="1"/>
    <col min="1538" max="1538" width="40.7109375" style="505" customWidth="1"/>
    <col min="1539" max="1539" width="20.5703125" style="505" customWidth="1"/>
    <col min="1540" max="1540" width="20.7109375" style="505" customWidth="1"/>
    <col min="1541" max="1542" width="11.42578125" style="505"/>
    <col min="1543" max="1543" width="23.85546875" style="505" customWidth="1"/>
    <col min="1544" max="1544" width="15.85546875" style="505" customWidth="1"/>
    <col min="1545" max="1792" width="11.42578125" style="505"/>
    <col min="1793" max="1793" width="9.7109375" style="505" customWidth="1"/>
    <col min="1794" max="1794" width="40.7109375" style="505" customWidth="1"/>
    <col min="1795" max="1795" width="20.5703125" style="505" customWidth="1"/>
    <col min="1796" max="1796" width="20.7109375" style="505" customWidth="1"/>
    <col min="1797" max="1798" width="11.42578125" style="505"/>
    <col min="1799" max="1799" width="23.85546875" style="505" customWidth="1"/>
    <col min="1800" max="1800" width="15.85546875" style="505" customWidth="1"/>
    <col min="1801" max="2048" width="11.42578125" style="505"/>
    <col min="2049" max="2049" width="9.7109375" style="505" customWidth="1"/>
    <col min="2050" max="2050" width="40.7109375" style="505" customWidth="1"/>
    <col min="2051" max="2051" width="20.5703125" style="505" customWidth="1"/>
    <col min="2052" max="2052" width="20.7109375" style="505" customWidth="1"/>
    <col min="2053" max="2054" width="11.42578125" style="505"/>
    <col min="2055" max="2055" width="23.85546875" style="505" customWidth="1"/>
    <col min="2056" max="2056" width="15.85546875" style="505" customWidth="1"/>
    <col min="2057" max="2304" width="11.42578125" style="505"/>
    <col min="2305" max="2305" width="9.7109375" style="505" customWidth="1"/>
    <col min="2306" max="2306" width="40.7109375" style="505" customWidth="1"/>
    <col min="2307" max="2307" width="20.5703125" style="505" customWidth="1"/>
    <col min="2308" max="2308" width="20.7109375" style="505" customWidth="1"/>
    <col min="2309" max="2310" width="11.42578125" style="505"/>
    <col min="2311" max="2311" width="23.85546875" style="505" customWidth="1"/>
    <col min="2312" max="2312" width="15.85546875" style="505" customWidth="1"/>
    <col min="2313" max="2560" width="11.42578125" style="505"/>
    <col min="2561" max="2561" width="9.7109375" style="505" customWidth="1"/>
    <col min="2562" max="2562" width="40.7109375" style="505" customWidth="1"/>
    <col min="2563" max="2563" width="20.5703125" style="505" customWidth="1"/>
    <col min="2564" max="2564" width="20.7109375" style="505" customWidth="1"/>
    <col min="2565" max="2566" width="11.42578125" style="505"/>
    <col min="2567" max="2567" width="23.85546875" style="505" customWidth="1"/>
    <col min="2568" max="2568" width="15.85546875" style="505" customWidth="1"/>
    <col min="2569" max="2816" width="11.42578125" style="505"/>
    <col min="2817" max="2817" width="9.7109375" style="505" customWidth="1"/>
    <col min="2818" max="2818" width="40.7109375" style="505" customWidth="1"/>
    <col min="2819" max="2819" width="20.5703125" style="505" customWidth="1"/>
    <col min="2820" max="2820" width="20.7109375" style="505" customWidth="1"/>
    <col min="2821" max="2822" width="11.42578125" style="505"/>
    <col min="2823" max="2823" width="23.85546875" style="505" customWidth="1"/>
    <col min="2824" max="2824" width="15.85546875" style="505" customWidth="1"/>
    <col min="2825" max="3072" width="11.42578125" style="505"/>
    <col min="3073" max="3073" width="9.7109375" style="505" customWidth="1"/>
    <col min="3074" max="3074" width="40.7109375" style="505" customWidth="1"/>
    <col min="3075" max="3075" width="20.5703125" style="505" customWidth="1"/>
    <col min="3076" max="3076" width="20.7109375" style="505" customWidth="1"/>
    <col min="3077" max="3078" width="11.42578125" style="505"/>
    <col min="3079" max="3079" width="23.85546875" style="505" customWidth="1"/>
    <col min="3080" max="3080" width="15.85546875" style="505" customWidth="1"/>
    <col min="3081" max="3328" width="11.42578125" style="505"/>
    <col min="3329" max="3329" width="9.7109375" style="505" customWidth="1"/>
    <col min="3330" max="3330" width="40.7109375" style="505" customWidth="1"/>
    <col min="3331" max="3331" width="20.5703125" style="505" customWidth="1"/>
    <col min="3332" max="3332" width="20.7109375" style="505" customWidth="1"/>
    <col min="3333" max="3334" width="11.42578125" style="505"/>
    <col min="3335" max="3335" width="23.85546875" style="505" customWidth="1"/>
    <col min="3336" max="3336" width="15.85546875" style="505" customWidth="1"/>
    <col min="3337" max="3584" width="11.42578125" style="505"/>
    <col min="3585" max="3585" width="9.7109375" style="505" customWidth="1"/>
    <col min="3586" max="3586" width="40.7109375" style="505" customWidth="1"/>
    <col min="3587" max="3587" width="20.5703125" style="505" customWidth="1"/>
    <col min="3588" max="3588" width="20.7109375" style="505" customWidth="1"/>
    <col min="3589" max="3590" width="11.42578125" style="505"/>
    <col min="3591" max="3591" width="23.85546875" style="505" customWidth="1"/>
    <col min="3592" max="3592" width="15.85546875" style="505" customWidth="1"/>
    <col min="3593" max="3840" width="11.42578125" style="505"/>
    <col min="3841" max="3841" width="9.7109375" style="505" customWidth="1"/>
    <col min="3842" max="3842" width="40.7109375" style="505" customWidth="1"/>
    <col min="3843" max="3843" width="20.5703125" style="505" customWidth="1"/>
    <col min="3844" max="3844" width="20.7109375" style="505" customWidth="1"/>
    <col min="3845" max="3846" width="11.42578125" style="505"/>
    <col min="3847" max="3847" width="23.85546875" style="505" customWidth="1"/>
    <col min="3848" max="3848" width="15.85546875" style="505" customWidth="1"/>
    <col min="3849" max="4096" width="11.42578125" style="505"/>
    <col min="4097" max="4097" width="9.7109375" style="505" customWidth="1"/>
    <col min="4098" max="4098" width="40.7109375" style="505" customWidth="1"/>
    <col min="4099" max="4099" width="20.5703125" style="505" customWidth="1"/>
    <col min="4100" max="4100" width="20.7109375" style="505" customWidth="1"/>
    <col min="4101" max="4102" width="11.42578125" style="505"/>
    <col min="4103" max="4103" width="23.85546875" style="505" customWidth="1"/>
    <col min="4104" max="4104" width="15.85546875" style="505" customWidth="1"/>
    <col min="4105" max="4352" width="11.42578125" style="505"/>
    <col min="4353" max="4353" width="9.7109375" style="505" customWidth="1"/>
    <col min="4354" max="4354" width="40.7109375" style="505" customWidth="1"/>
    <col min="4355" max="4355" width="20.5703125" style="505" customWidth="1"/>
    <col min="4356" max="4356" width="20.7109375" style="505" customWidth="1"/>
    <col min="4357" max="4358" width="11.42578125" style="505"/>
    <col min="4359" max="4359" width="23.85546875" style="505" customWidth="1"/>
    <col min="4360" max="4360" width="15.85546875" style="505" customWidth="1"/>
    <col min="4361" max="4608" width="11.42578125" style="505"/>
    <col min="4609" max="4609" width="9.7109375" style="505" customWidth="1"/>
    <col min="4610" max="4610" width="40.7109375" style="505" customWidth="1"/>
    <col min="4611" max="4611" width="20.5703125" style="505" customWidth="1"/>
    <col min="4612" max="4612" width="20.7109375" style="505" customWidth="1"/>
    <col min="4613" max="4614" width="11.42578125" style="505"/>
    <col min="4615" max="4615" width="23.85546875" style="505" customWidth="1"/>
    <col min="4616" max="4616" width="15.85546875" style="505" customWidth="1"/>
    <col min="4617" max="4864" width="11.42578125" style="505"/>
    <col min="4865" max="4865" width="9.7109375" style="505" customWidth="1"/>
    <col min="4866" max="4866" width="40.7109375" style="505" customWidth="1"/>
    <col min="4867" max="4867" width="20.5703125" style="505" customWidth="1"/>
    <col min="4868" max="4868" width="20.7109375" style="505" customWidth="1"/>
    <col min="4869" max="4870" width="11.42578125" style="505"/>
    <col min="4871" max="4871" width="23.85546875" style="505" customWidth="1"/>
    <col min="4872" max="4872" width="15.85546875" style="505" customWidth="1"/>
    <col min="4873" max="5120" width="11.42578125" style="505"/>
    <col min="5121" max="5121" width="9.7109375" style="505" customWidth="1"/>
    <col min="5122" max="5122" width="40.7109375" style="505" customWidth="1"/>
    <col min="5123" max="5123" width="20.5703125" style="505" customWidth="1"/>
    <col min="5124" max="5124" width="20.7109375" style="505" customWidth="1"/>
    <col min="5125" max="5126" width="11.42578125" style="505"/>
    <col min="5127" max="5127" width="23.85546875" style="505" customWidth="1"/>
    <col min="5128" max="5128" width="15.85546875" style="505" customWidth="1"/>
    <col min="5129" max="5376" width="11.42578125" style="505"/>
    <col min="5377" max="5377" width="9.7109375" style="505" customWidth="1"/>
    <col min="5378" max="5378" width="40.7109375" style="505" customWidth="1"/>
    <col min="5379" max="5379" width="20.5703125" style="505" customWidth="1"/>
    <col min="5380" max="5380" width="20.7109375" style="505" customWidth="1"/>
    <col min="5381" max="5382" width="11.42578125" style="505"/>
    <col min="5383" max="5383" width="23.85546875" style="505" customWidth="1"/>
    <col min="5384" max="5384" width="15.85546875" style="505" customWidth="1"/>
    <col min="5385" max="5632" width="11.42578125" style="505"/>
    <col min="5633" max="5633" width="9.7109375" style="505" customWidth="1"/>
    <col min="5634" max="5634" width="40.7109375" style="505" customWidth="1"/>
    <col min="5635" max="5635" width="20.5703125" style="505" customWidth="1"/>
    <col min="5636" max="5636" width="20.7109375" style="505" customWidth="1"/>
    <col min="5637" max="5638" width="11.42578125" style="505"/>
    <col min="5639" max="5639" width="23.85546875" style="505" customWidth="1"/>
    <col min="5640" max="5640" width="15.85546875" style="505" customWidth="1"/>
    <col min="5641" max="5888" width="11.42578125" style="505"/>
    <col min="5889" max="5889" width="9.7109375" style="505" customWidth="1"/>
    <col min="5890" max="5890" width="40.7109375" style="505" customWidth="1"/>
    <col min="5891" max="5891" width="20.5703125" style="505" customWidth="1"/>
    <col min="5892" max="5892" width="20.7109375" style="505" customWidth="1"/>
    <col min="5893" max="5894" width="11.42578125" style="505"/>
    <col min="5895" max="5895" width="23.85546875" style="505" customWidth="1"/>
    <col min="5896" max="5896" width="15.85546875" style="505" customWidth="1"/>
    <col min="5897" max="6144" width="11.42578125" style="505"/>
    <col min="6145" max="6145" width="9.7109375" style="505" customWidth="1"/>
    <col min="6146" max="6146" width="40.7109375" style="505" customWidth="1"/>
    <col min="6147" max="6147" width="20.5703125" style="505" customWidth="1"/>
    <col min="6148" max="6148" width="20.7109375" style="505" customWidth="1"/>
    <col min="6149" max="6150" width="11.42578125" style="505"/>
    <col min="6151" max="6151" width="23.85546875" style="505" customWidth="1"/>
    <col min="6152" max="6152" width="15.85546875" style="505" customWidth="1"/>
    <col min="6153" max="6400" width="11.42578125" style="505"/>
    <col min="6401" max="6401" width="9.7109375" style="505" customWidth="1"/>
    <col min="6402" max="6402" width="40.7109375" style="505" customWidth="1"/>
    <col min="6403" max="6403" width="20.5703125" style="505" customWidth="1"/>
    <col min="6404" max="6404" width="20.7109375" style="505" customWidth="1"/>
    <col min="6405" max="6406" width="11.42578125" style="505"/>
    <col min="6407" max="6407" width="23.85546875" style="505" customWidth="1"/>
    <col min="6408" max="6408" width="15.85546875" style="505" customWidth="1"/>
    <col min="6409" max="6656" width="11.42578125" style="505"/>
    <col min="6657" max="6657" width="9.7109375" style="505" customWidth="1"/>
    <col min="6658" max="6658" width="40.7109375" style="505" customWidth="1"/>
    <col min="6659" max="6659" width="20.5703125" style="505" customWidth="1"/>
    <col min="6660" max="6660" width="20.7109375" style="505" customWidth="1"/>
    <col min="6661" max="6662" width="11.42578125" style="505"/>
    <col min="6663" max="6663" width="23.85546875" style="505" customWidth="1"/>
    <col min="6664" max="6664" width="15.85546875" style="505" customWidth="1"/>
    <col min="6665" max="6912" width="11.42578125" style="505"/>
    <col min="6913" max="6913" width="9.7109375" style="505" customWidth="1"/>
    <col min="6914" max="6914" width="40.7109375" style="505" customWidth="1"/>
    <col min="6915" max="6915" width="20.5703125" style="505" customWidth="1"/>
    <col min="6916" max="6916" width="20.7109375" style="505" customWidth="1"/>
    <col min="6917" max="6918" width="11.42578125" style="505"/>
    <col min="6919" max="6919" width="23.85546875" style="505" customWidth="1"/>
    <col min="6920" max="6920" width="15.85546875" style="505" customWidth="1"/>
    <col min="6921" max="7168" width="11.42578125" style="505"/>
    <col min="7169" max="7169" width="9.7109375" style="505" customWidth="1"/>
    <col min="7170" max="7170" width="40.7109375" style="505" customWidth="1"/>
    <col min="7171" max="7171" width="20.5703125" style="505" customWidth="1"/>
    <col min="7172" max="7172" width="20.7109375" style="505" customWidth="1"/>
    <col min="7173" max="7174" width="11.42578125" style="505"/>
    <col min="7175" max="7175" width="23.85546875" style="505" customWidth="1"/>
    <col min="7176" max="7176" width="15.85546875" style="505" customWidth="1"/>
    <col min="7177" max="7424" width="11.42578125" style="505"/>
    <col min="7425" max="7425" width="9.7109375" style="505" customWidth="1"/>
    <col min="7426" max="7426" width="40.7109375" style="505" customWidth="1"/>
    <col min="7427" max="7427" width="20.5703125" style="505" customWidth="1"/>
    <col min="7428" max="7428" width="20.7109375" style="505" customWidth="1"/>
    <col min="7429" max="7430" width="11.42578125" style="505"/>
    <col min="7431" max="7431" width="23.85546875" style="505" customWidth="1"/>
    <col min="7432" max="7432" width="15.85546875" style="505" customWidth="1"/>
    <col min="7433" max="7680" width="11.42578125" style="505"/>
    <col min="7681" max="7681" width="9.7109375" style="505" customWidth="1"/>
    <col min="7682" max="7682" width="40.7109375" style="505" customWidth="1"/>
    <col min="7683" max="7683" width="20.5703125" style="505" customWidth="1"/>
    <col min="7684" max="7684" width="20.7109375" style="505" customWidth="1"/>
    <col min="7685" max="7686" width="11.42578125" style="505"/>
    <col min="7687" max="7687" width="23.85546875" style="505" customWidth="1"/>
    <col min="7688" max="7688" width="15.85546875" style="505" customWidth="1"/>
    <col min="7689" max="7936" width="11.42578125" style="505"/>
    <col min="7937" max="7937" width="9.7109375" style="505" customWidth="1"/>
    <col min="7938" max="7938" width="40.7109375" style="505" customWidth="1"/>
    <col min="7939" max="7939" width="20.5703125" style="505" customWidth="1"/>
    <col min="7940" max="7940" width="20.7109375" style="505" customWidth="1"/>
    <col min="7941" max="7942" width="11.42578125" style="505"/>
    <col min="7943" max="7943" width="23.85546875" style="505" customWidth="1"/>
    <col min="7944" max="7944" width="15.85546875" style="505" customWidth="1"/>
    <col min="7945" max="8192" width="11.42578125" style="505"/>
    <col min="8193" max="8193" width="9.7109375" style="505" customWidth="1"/>
    <col min="8194" max="8194" width="40.7109375" style="505" customWidth="1"/>
    <col min="8195" max="8195" width="20.5703125" style="505" customWidth="1"/>
    <col min="8196" max="8196" width="20.7109375" style="505" customWidth="1"/>
    <col min="8197" max="8198" width="11.42578125" style="505"/>
    <col min="8199" max="8199" width="23.85546875" style="505" customWidth="1"/>
    <col min="8200" max="8200" width="15.85546875" style="505" customWidth="1"/>
    <col min="8201" max="8448" width="11.42578125" style="505"/>
    <col min="8449" max="8449" width="9.7109375" style="505" customWidth="1"/>
    <col min="8450" max="8450" width="40.7109375" style="505" customWidth="1"/>
    <col min="8451" max="8451" width="20.5703125" style="505" customWidth="1"/>
    <col min="8452" max="8452" width="20.7109375" style="505" customWidth="1"/>
    <col min="8453" max="8454" width="11.42578125" style="505"/>
    <col min="8455" max="8455" width="23.85546875" style="505" customWidth="1"/>
    <col min="8456" max="8456" width="15.85546875" style="505" customWidth="1"/>
    <col min="8457" max="8704" width="11.42578125" style="505"/>
    <col min="8705" max="8705" width="9.7109375" style="505" customWidth="1"/>
    <col min="8706" max="8706" width="40.7109375" style="505" customWidth="1"/>
    <col min="8707" max="8707" width="20.5703125" style="505" customWidth="1"/>
    <col min="8708" max="8708" width="20.7109375" style="505" customWidth="1"/>
    <col min="8709" max="8710" width="11.42578125" style="505"/>
    <col min="8711" max="8711" width="23.85546875" style="505" customWidth="1"/>
    <col min="8712" max="8712" width="15.85546875" style="505" customWidth="1"/>
    <col min="8713" max="8960" width="11.42578125" style="505"/>
    <col min="8961" max="8961" width="9.7109375" style="505" customWidth="1"/>
    <col min="8962" max="8962" width="40.7109375" style="505" customWidth="1"/>
    <col min="8963" max="8963" width="20.5703125" style="505" customWidth="1"/>
    <col min="8964" max="8964" width="20.7109375" style="505" customWidth="1"/>
    <col min="8965" max="8966" width="11.42578125" style="505"/>
    <col min="8967" max="8967" width="23.85546875" style="505" customWidth="1"/>
    <col min="8968" max="8968" width="15.85546875" style="505" customWidth="1"/>
    <col min="8969" max="9216" width="11.42578125" style="505"/>
    <col min="9217" max="9217" width="9.7109375" style="505" customWidth="1"/>
    <col min="9218" max="9218" width="40.7109375" style="505" customWidth="1"/>
    <col min="9219" max="9219" width="20.5703125" style="505" customWidth="1"/>
    <col min="9220" max="9220" width="20.7109375" style="505" customWidth="1"/>
    <col min="9221" max="9222" width="11.42578125" style="505"/>
    <col min="9223" max="9223" width="23.85546875" style="505" customWidth="1"/>
    <col min="9224" max="9224" width="15.85546875" style="505" customWidth="1"/>
    <col min="9225" max="9472" width="11.42578125" style="505"/>
    <col min="9473" max="9473" width="9.7109375" style="505" customWidth="1"/>
    <col min="9474" max="9474" width="40.7109375" style="505" customWidth="1"/>
    <col min="9475" max="9475" width="20.5703125" style="505" customWidth="1"/>
    <col min="9476" max="9476" width="20.7109375" style="505" customWidth="1"/>
    <col min="9477" max="9478" width="11.42578125" style="505"/>
    <col min="9479" max="9479" width="23.85546875" style="505" customWidth="1"/>
    <col min="9480" max="9480" width="15.85546875" style="505" customWidth="1"/>
    <col min="9481" max="9728" width="11.42578125" style="505"/>
    <col min="9729" max="9729" width="9.7109375" style="505" customWidth="1"/>
    <col min="9730" max="9730" width="40.7109375" style="505" customWidth="1"/>
    <col min="9731" max="9731" width="20.5703125" style="505" customWidth="1"/>
    <col min="9732" max="9732" width="20.7109375" style="505" customWidth="1"/>
    <col min="9733" max="9734" width="11.42578125" style="505"/>
    <col min="9735" max="9735" width="23.85546875" style="505" customWidth="1"/>
    <col min="9736" max="9736" width="15.85546875" style="505" customWidth="1"/>
    <col min="9737" max="9984" width="11.42578125" style="505"/>
    <col min="9985" max="9985" width="9.7109375" style="505" customWidth="1"/>
    <col min="9986" max="9986" width="40.7109375" style="505" customWidth="1"/>
    <col min="9987" max="9987" width="20.5703125" style="505" customWidth="1"/>
    <col min="9988" max="9988" width="20.7109375" style="505" customWidth="1"/>
    <col min="9989" max="9990" width="11.42578125" style="505"/>
    <col min="9991" max="9991" width="23.85546875" style="505" customWidth="1"/>
    <col min="9992" max="9992" width="15.85546875" style="505" customWidth="1"/>
    <col min="9993" max="10240" width="11.42578125" style="505"/>
    <col min="10241" max="10241" width="9.7109375" style="505" customWidth="1"/>
    <col min="10242" max="10242" width="40.7109375" style="505" customWidth="1"/>
    <col min="10243" max="10243" width="20.5703125" style="505" customWidth="1"/>
    <col min="10244" max="10244" width="20.7109375" style="505" customWidth="1"/>
    <col min="10245" max="10246" width="11.42578125" style="505"/>
    <col min="10247" max="10247" width="23.85546875" style="505" customWidth="1"/>
    <col min="10248" max="10248" width="15.85546875" style="505" customWidth="1"/>
    <col min="10249" max="10496" width="11.42578125" style="505"/>
    <col min="10497" max="10497" width="9.7109375" style="505" customWidth="1"/>
    <col min="10498" max="10498" width="40.7109375" style="505" customWidth="1"/>
    <col min="10499" max="10499" width="20.5703125" style="505" customWidth="1"/>
    <col min="10500" max="10500" width="20.7109375" style="505" customWidth="1"/>
    <col min="10501" max="10502" width="11.42578125" style="505"/>
    <col min="10503" max="10503" width="23.85546875" style="505" customWidth="1"/>
    <col min="10504" max="10504" width="15.85546875" style="505" customWidth="1"/>
    <col min="10505" max="10752" width="11.42578125" style="505"/>
    <col min="10753" max="10753" width="9.7109375" style="505" customWidth="1"/>
    <col min="10754" max="10754" width="40.7109375" style="505" customWidth="1"/>
    <col min="10755" max="10755" width="20.5703125" style="505" customWidth="1"/>
    <col min="10756" max="10756" width="20.7109375" style="505" customWidth="1"/>
    <col min="10757" max="10758" width="11.42578125" style="505"/>
    <col min="10759" max="10759" width="23.85546875" style="505" customWidth="1"/>
    <col min="10760" max="10760" width="15.85546875" style="505" customWidth="1"/>
    <col min="10761" max="11008" width="11.42578125" style="505"/>
    <col min="11009" max="11009" width="9.7109375" style="505" customWidth="1"/>
    <col min="11010" max="11010" width="40.7109375" style="505" customWidth="1"/>
    <col min="11011" max="11011" width="20.5703125" style="505" customWidth="1"/>
    <col min="11012" max="11012" width="20.7109375" style="505" customWidth="1"/>
    <col min="11013" max="11014" width="11.42578125" style="505"/>
    <col min="11015" max="11015" width="23.85546875" style="505" customWidth="1"/>
    <col min="11016" max="11016" width="15.85546875" style="505" customWidth="1"/>
    <col min="11017" max="11264" width="11.42578125" style="505"/>
    <col min="11265" max="11265" width="9.7109375" style="505" customWidth="1"/>
    <col min="11266" max="11266" width="40.7109375" style="505" customWidth="1"/>
    <col min="11267" max="11267" width="20.5703125" style="505" customWidth="1"/>
    <col min="11268" max="11268" width="20.7109375" style="505" customWidth="1"/>
    <col min="11269" max="11270" width="11.42578125" style="505"/>
    <col min="11271" max="11271" width="23.85546875" style="505" customWidth="1"/>
    <col min="11272" max="11272" width="15.85546875" style="505" customWidth="1"/>
    <col min="11273" max="11520" width="11.42578125" style="505"/>
    <col min="11521" max="11521" width="9.7109375" style="505" customWidth="1"/>
    <col min="11522" max="11522" width="40.7109375" style="505" customWidth="1"/>
    <col min="11523" max="11523" width="20.5703125" style="505" customWidth="1"/>
    <col min="11524" max="11524" width="20.7109375" style="505" customWidth="1"/>
    <col min="11525" max="11526" width="11.42578125" style="505"/>
    <col min="11527" max="11527" width="23.85546875" style="505" customWidth="1"/>
    <col min="11528" max="11528" width="15.85546875" style="505" customWidth="1"/>
    <col min="11529" max="11776" width="11.42578125" style="505"/>
    <col min="11777" max="11777" width="9.7109375" style="505" customWidth="1"/>
    <col min="11778" max="11778" width="40.7109375" style="505" customWidth="1"/>
    <col min="11779" max="11779" width="20.5703125" style="505" customWidth="1"/>
    <col min="11780" max="11780" width="20.7109375" style="505" customWidth="1"/>
    <col min="11781" max="11782" width="11.42578125" style="505"/>
    <col min="11783" max="11783" width="23.85546875" style="505" customWidth="1"/>
    <col min="11784" max="11784" width="15.85546875" style="505" customWidth="1"/>
    <col min="11785" max="12032" width="11.42578125" style="505"/>
    <col min="12033" max="12033" width="9.7109375" style="505" customWidth="1"/>
    <col min="12034" max="12034" width="40.7109375" style="505" customWidth="1"/>
    <col min="12035" max="12035" width="20.5703125" style="505" customWidth="1"/>
    <col min="12036" max="12036" width="20.7109375" style="505" customWidth="1"/>
    <col min="12037" max="12038" width="11.42578125" style="505"/>
    <col min="12039" max="12039" width="23.85546875" style="505" customWidth="1"/>
    <col min="12040" max="12040" width="15.85546875" style="505" customWidth="1"/>
    <col min="12041" max="12288" width="11.42578125" style="505"/>
    <col min="12289" max="12289" width="9.7109375" style="505" customWidth="1"/>
    <col min="12290" max="12290" width="40.7109375" style="505" customWidth="1"/>
    <col min="12291" max="12291" width="20.5703125" style="505" customWidth="1"/>
    <col min="12292" max="12292" width="20.7109375" style="505" customWidth="1"/>
    <col min="12293" max="12294" width="11.42578125" style="505"/>
    <col min="12295" max="12295" width="23.85546875" style="505" customWidth="1"/>
    <col min="12296" max="12296" width="15.85546875" style="505" customWidth="1"/>
    <col min="12297" max="12544" width="11.42578125" style="505"/>
    <col min="12545" max="12545" width="9.7109375" style="505" customWidth="1"/>
    <col min="12546" max="12546" width="40.7109375" style="505" customWidth="1"/>
    <col min="12547" max="12547" width="20.5703125" style="505" customWidth="1"/>
    <col min="12548" max="12548" width="20.7109375" style="505" customWidth="1"/>
    <col min="12549" max="12550" width="11.42578125" style="505"/>
    <col min="12551" max="12551" width="23.85546875" style="505" customWidth="1"/>
    <col min="12552" max="12552" width="15.85546875" style="505" customWidth="1"/>
    <col min="12553" max="12800" width="11.42578125" style="505"/>
    <col min="12801" max="12801" width="9.7109375" style="505" customWidth="1"/>
    <col min="12802" max="12802" width="40.7109375" style="505" customWidth="1"/>
    <col min="12803" max="12803" width="20.5703125" style="505" customWidth="1"/>
    <col min="12804" max="12804" width="20.7109375" style="505" customWidth="1"/>
    <col min="12805" max="12806" width="11.42578125" style="505"/>
    <col min="12807" max="12807" width="23.85546875" style="505" customWidth="1"/>
    <col min="12808" max="12808" width="15.85546875" style="505" customWidth="1"/>
    <col min="12809" max="13056" width="11.42578125" style="505"/>
    <col min="13057" max="13057" width="9.7109375" style="505" customWidth="1"/>
    <col min="13058" max="13058" width="40.7109375" style="505" customWidth="1"/>
    <col min="13059" max="13059" width="20.5703125" style="505" customWidth="1"/>
    <col min="13060" max="13060" width="20.7109375" style="505" customWidth="1"/>
    <col min="13061" max="13062" width="11.42578125" style="505"/>
    <col min="13063" max="13063" width="23.85546875" style="505" customWidth="1"/>
    <col min="13064" max="13064" width="15.85546875" style="505" customWidth="1"/>
    <col min="13065" max="13312" width="11.42578125" style="505"/>
    <col min="13313" max="13313" width="9.7109375" style="505" customWidth="1"/>
    <col min="13314" max="13314" width="40.7109375" style="505" customWidth="1"/>
    <col min="13315" max="13315" width="20.5703125" style="505" customWidth="1"/>
    <col min="13316" max="13316" width="20.7109375" style="505" customWidth="1"/>
    <col min="13317" max="13318" width="11.42578125" style="505"/>
    <col min="13319" max="13319" width="23.85546875" style="505" customWidth="1"/>
    <col min="13320" max="13320" width="15.85546875" style="505" customWidth="1"/>
    <col min="13321" max="13568" width="11.42578125" style="505"/>
    <col min="13569" max="13569" width="9.7109375" style="505" customWidth="1"/>
    <col min="13570" max="13570" width="40.7109375" style="505" customWidth="1"/>
    <col min="13571" max="13571" width="20.5703125" style="505" customWidth="1"/>
    <col min="13572" max="13572" width="20.7109375" style="505" customWidth="1"/>
    <col min="13573" max="13574" width="11.42578125" style="505"/>
    <col min="13575" max="13575" width="23.85546875" style="505" customWidth="1"/>
    <col min="13576" max="13576" width="15.85546875" style="505" customWidth="1"/>
    <col min="13577" max="13824" width="11.42578125" style="505"/>
    <col min="13825" max="13825" width="9.7109375" style="505" customWidth="1"/>
    <col min="13826" max="13826" width="40.7109375" style="505" customWidth="1"/>
    <col min="13827" max="13827" width="20.5703125" style="505" customWidth="1"/>
    <col min="13828" max="13828" width="20.7109375" style="505" customWidth="1"/>
    <col min="13829" max="13830" width="11.42578125" style="505"/>
    <col min="13831" max="13831" width="23.85546875" style="505" customWidth="1"/>
    <col min="13832" max="13832" width="15.85546875" style="505" customWidth="1"/>
    <col min="13833" max="14080" width="11.42578125" style="505"/>
    <col min="14081" max="14081" width="9.7109375" style="505" customWidth="1"/>
    <col min="14082" max="14082" width="40.7109375" style="505" customWidth="1"/>
    <col min="14083" max="14083" width="20.5703125" style="505" customWidth="1"/>
    <col min="14084" max="14084" width="20.7109375" style="505" customWidth="1"/>
    <col min="14085" max="14086" width="11.42578125" style="505"/>
    <col min="14087" max="14087" width="23.85546875" style="505" customWidth="1"/>
    <col min="14088" max="14088" width="15.85546875" style="505" customWidth="1"/>
    <col min="14089" max="14336" width="11.42578125" style="505"/>
    <col min="14337" max="14337" width="9.7109375" style="505" customWidth="1"/>
    <col min="14338" max="14338" width="40.7109375" style="505" customWidth="1"/>
    <col min="14339" max="14339" width="20.5703125" style="505" customWidth="1"/>
    <col min="14340" max="14340" width="20.7109375" style="505" customWidth="1"/>
    <col min="14341" max="14342" width="11.42578125" style="505"/>
    <col min="14343" max="14343" width="23.85546875" style="505" customWidth="1"/>
    <col min="14344" max="14344" width="15.85546875" style="505" customWidth="1"/>
    <col min="14345" max="14592" width="11.42578125" style="505"/>
    <col min="14593" max="14593" width="9.7109375" style="505" customWidth="1"/>
    <col min="14594" max="14594" width="40.7109375" style="505" customWidth="1"/>
    <col min="14595" max="14595" width="20.5703125" style="505" customWidth="1"/>
    <col min="14596" max="14596" width="20.7109375" style="505" customWidth="1"/>
    <col min="14597" max="14598" width="11.42578125" style="505"/>
    <col min="14599" max="14599" width="23.85546875" style="505" customWidth="1"/>
    <col min="14600" max="14600" width="15.85546875" style="505" customWidth="1"/>
    <col min="14601" max="14848" width="11.42578125" style="505"/>
    <col min="14849" max="14849" width="9.7109375" style="505" customWidth="1"/>
    <col min="14850" max="14850" width="40.7109375" style="505" customWidth="1"/>
    <col min="14851" max="14851" width="20.5703125" style="505" customWidth="1"/>
    <col min="14852" max="14852" width="20.7109375" style="505" customWidth="1"/>
    <col min="14853" max="14854" width="11.42578125" style="505"/>
    <col min="14855" max="14855" width="23.85546875" style="505" customWidth="1"/>
    <col min="14856" max="14856" width="15.85546875" style="505" customWidth="1"/>
    <col min="14857" max="15104" width="11.42578125" style="505"/>
    <col min="15105" max="15105" width="9.7109375" style="505" customWidth="1"/>
    <col min="15106" max="15106" width="40.7109375" style="505" customWidth="1"/>
    <col min="15107" max="15107" width="20.5703125" style="505" customWidth="1"/>
    <col min="15108" max="15108" width="20.7109375" style="505" customWidth="1"/>
    <col min="15109" max="15110" width="11.42578125" style="505"/>
    <col min="15111" max="15111" width="23.85546875" style="505" customWidth="1"/>
    <col min="15112" max="15112" width="15.85546875" style="505" customWidth="1"/>
    <col min="15113" max="15360" width="11.42578125" style="505"/>
    <col min="15361" max="15361" width="9.7109375" style="505" customWidth="1"/>
    <col min="15362" max="15362" width="40.7109375" style="505" customWidth="1"/>
    <col min="15363" max="15363" width="20.5703125" style="505" customWidth="1"/>
    <col min="15364" max="15364" width="20.7109375" style="505" customWidth="1"/>
    <col min="15365" max="15366" width="11.42578125" style="505"/>
    <col min="15367" max="15367" width="23.85546875" style="505" customWidth="1"/>
    <col min="15368" max="15368" width="15.85546875" style="505" customWidth="1"/>
    <col min="15369" max="15616" width="11.42578125" style="505"/>
    <col min="15617" max="15617" width="9.7109375" style="505" customWidth="1"/>
    <col min="15618" max="15618" width="40.7109375" style="505" customWidth="1"/>
    <col min="15619" max="15619" width="20.5703125" style="505" customWidth="1"/>
    <col min="15620" max="15620" width="20.7109375" style="505" customWidth="1"/>
    <col min="15621" max="15622" width="11.42578125" style="505"/>
    <col min="15623" max="15623" width="23.85546875" style="505" customWidth="1"/>
    <col min="15624" max="15624" width="15.85546875" style="505" customWidth="1"/>
    <col min="15625" max="15872" width="11.42578125" style="505"/>
    <col min="15873" max="15873" width="9.7109375" style="505" customWidth="1"/>
    <col min="15874" max="15874" width="40.7109375" style="505" customWidth="1"/>
    <col min="15875" max="15875" width="20.5703125" style="505" customWidth="1"/>
    <col min="15876" max="15876" width="20.7109375" style="505" customWidth="1"/>
    <col min="15877" max="15878" width="11.42578125" style="505"/>
    <col min="15879" max="15879" width="23.85546875" style="505" customWidth="1"/>
    <col min="15880" max="15880" width="15.85546875" style="505" customWidth="1"/>
    <col min="15881" max="16128" width="11.42578125" style="505"/>
    <col min="16129" max="16129" width="9.7109375" style="505" customWidth="1"/>
    <col min="16130" max="16130" width="40.7109375" style="505" customWidth="1"/>
    <col min="16131" max="16131" width="20.5703125" style="505" customWidth="1"/>
    <col min="16132" max="16132" width="20.7109375" style="505" customWidth="1"/>
    <col min="16133" max="16134" width="11.42578125" style="505"/>
    <col min="16135" max="16135" width="23.85546875" style="505" customWidth="1"/>
    <col min="16136" max="16136" width="15.85546875" style="505" customWidth="1"/>
    <col min="16137" max="16384" width="11.42578125" style="505"/>
  </cols>
  <sheetData>
    <row r="2" spans="2:4" ht="15.75">
      <c r="B2" s="828"/>
      <c r="C2" s="828"/>
      <c r="D2" s="828"/>
    </row>
    <row r="3" spans="2:4" ht="15.75" hidden="1">
      <c r="B3" s="829" t="s">
        <v>520</v>
      </c>
      <c r="C3" s="829"/>
      <c r="D3" s="829"/>
    </row>
    <row r="4" spans="2:4" ht="15.75" hidden="1">
      <c r="B4" s="829" t="s">
        <v>521</v>
      </c>
      <c r="C4" s="829"/>
      <c r="D4" s="829"/>
    </row>
    <row r="5" spans="2:4" ht="13.5" hidden="1" thickBot="1">
      <c r="B5" s="506"/>
      <c r="C5" s="507"/>
      <c r="D5" s="506"/>
    </row>
    <row r="6" spans="2:4" ht="12.75" hidden="1" customHeight="1">
      <c r="B6" s="830"/>
      <c r="C6" s="832" t="s">
        <v>522</v>
      </c>
      <c r="D6" s="834" t="s">
        <v>523</v>
      </c>
    </row>
    <row r="7" spans="2:4" ht="12.75" hidden="1" customHeight="1">
      <c r="B7" s="831"/>
      <c r="C7" s="833"/>
      <c r="D7" s="835"/>
    </row>
    <row r="8" spans="2:4" ht="6" hidden="1" customHeight="1">
      <c r="B8" s="508"/>
      <c r="C8" s="509"/>
      <c r="D8" s="510"/>
    </row>
    <row r="9" spans="2:4" ht="15.75" hidden="1">
      <c r="B9" s="511" t="s">
        <v>524</v>
      </c>
      <c r="C9" s="512">
        <v>560.6</v>
      </c>
      <c r="D9" s="513">
        <v>583.70000000000005</v>
      </c>
    </row>
    <row r="10" spans="2:4" ht="7.5" hidden="1" customHeight="1">
      <c r="B10" s="514"/>
      <c r="C10" s="515"/>
      <c r="D10" s="516"/>
    </row>
    <row r="11" spans="2:4" ht="19.5" hidden="1" customHeight="1">
      <c r="B11" s="517" t="s">
        <v>525</v>
      </c>
      <c r="C11" s="518">
        <f>SUM(C12:C23)</f>
        <v>1133.86019917</v>
      </c>
      <c r="D11" s="519">
        <f>SUM(D12:D23)</f>
        <v>1182.8245003799998</v>
      </c>
    </row>
    <row r="12" spans="2:4" ht="18" hidden="1" customHeight="1">
      <c r="B12" s="520" t="s">
        <v>526</v>
      </c>
      <c r="C12" s="521">
        <v>7.55905512</v>
      </c>
      <c r="D12" s="522">
        <v>7.6</v>
      </c>
    </row>
    <row r="13" spans="2:4" ht="18" hidden="1" customHeight="1">
      <c r="B13" s="520" t="s">
        <v>527</v>
      </c>
      <c r="C13" s="523">
        <v>135.61601392</v>
      </c>
      <c r="D13" s="524">
        <v>141.935</v>
      </c>
    </row>
    <row r="14" spans="2:4" ht="18" hidden="1" customHeight="1">
      <c r="B14" s="520" t="s">
        <v>528</v>
      </c>
      <c r="C14" s="523">
        <v>129.42392018000001</v>
      </c>
      <c r="D14" s="524">
        <v>137.745</v>
      </c>
    </row>
    <row r="15" spans="2:4" ht="18" hidden="1" customHeight="1">
      <c r="B15" s="520" t="s">
        <v>529</v>
      </c>
      <c r="C15" s="525">
        <v>44.880929180000003</v>
      </c>
      <c r="D15" s="526">
        <v>48.2</v>
      </c>
    </row>
    <row r="16" spans="2:4" ht="18" hidden="1" customHeight="1">
      <c r="B16" s="520" t="s">
        <v>530</v>
      </c>
      <c r="C16" s="525">
        <v>323.26066500999991</v>
      </c>
      <c r="D16" s="526">
        <v>339.19899999999996</v>
      </c>
    </row>
    <row r="17" spans="2:4" ht="18" hidden="1" customHeight="1">
      <c r="B17" s="520" t="s">
        <v>531</v>
      </c>
      <c r="C17" s="525">
        <v>13.703705750000001</v>
      </c>
      <c r="D17" s="526">
        <v>14.6</v>
      </c>
    </row>
    <row r="18" spans="2:4" ht="18" hidden="1" customHeight="1">
      <c r="B18" s="520" t="s">
        <v>532</v>
      </c>
      <c r="C18" s="525">
        <v>31.59808993</v>
      </c>
      <c r="D18" s="526">
        <v>32.238000049999997</v>
      </c>
    </row>
    <row r="19" spans="2:4" ht="18" hidden="1" customHeight="1">
      <c r="B19" s="520" t="s">
        <v>533</v>
      </c>
      <c r="C19" s="525">
        <v>85.493118509999988</v>
      </c>
      <c r="D19" s="526">
        <v>88.312000149999989</v>
      </c>
    </row>
    <row r="20" spans="2:4" ht="18" hidden="1" customHeight="1">
      <c r="B20" s="520" t="s">
        <v>534</v>
      </c>
      <c r="C20" s="525">
        <v>35.381490099999994</v>
      </c>
      <c r="D20" s="526">
        <v>36.644200050000002</v>
      </c>
    </row>
    <row r="21" spans="2:4" ht="18" hidden="1" customHeight="1">
      <c r="B21" s="520" t="s">
        <v>535</v>
      </c>
      <c r="C21" s="525">
        <v>160.09567458999999</v>
      </c>
      <c r="D21" s="526">
        <v>165.47430009999999</v>
      </c>
    </row>
    <row r="22" spans="2:4" ht="18" hidden="1" customHeight="1">
      <c r="B22" s="520" t="s">
        <v>536</v>
      </c>
      <c r="C22" s="525">
        <v>166.84753688000001</v>
      </c>
      <c r="D22" s="526">
        <v>170.87700002999998</v>
      </c>
    </row>
    <row r="23" spans="2:4" ht="18" hidden="1" customHeight="1">
      <c r="B23" s="520" t="s">
        <v>537</v>
      </c>
      <c r="C23" s="525">
        <v>0</v>
      </c>
      <c r="D23" s="526">
        <v>0</v>
      </c>
    </row>
    <row r="24" spans="2:4" ht="18" hidden="1" customHeight="1">
      <c r="B24" s="517" t="s">
        <v>538</v>
      </c>
      <c r="C24" s="518">
        <f>SUM(C25:C36)</f>
        <v>1281.4382016700001</v>
      </c>
      <c r="D24" s="519">
        <f>SUM(D25:D36)</f>
        <v>1338.9582003399998</v>
      </c>
    </row>
    <row r="25" spans="2:4" ht="19.5" hidden="1" customHeight="1">
      <c r="B25" s="520" t="s">
        <v>526</v>
      </c>
      <c r="C25" s="527">
        <v>108.38426487</v>
      </c>
      <c r="D25" s="528">
        <v>112.12500003999997</v>
      </c>
    </row>
    <row r="26" spans="2:4" ht="19.5" hidden="1" customHeight="1">
      <c r="B26" s="520" t="s">
        <v>527</v>
      </c>
      <c r="C26" s="527">
        <v>145.43613393999999</v>
      </c>
      <c r="D26" s="528">
        <v>147.98000006999999</v>
      </c>
    </row>
    <row r="27" spans="2:4" ht="19.5" hidden="1" customHeight="1">
      <c r="B27" s="520" t="s">
        <v>528</v>
      </c>
      <c r="C27" s="527">
        <v>146.44088142000001</v>
      </c>
      <c r="D27" s="528">
        <v>151.3763002</v>
      </c>
    </row>
    <row r="28" spans="2:4" ht="19.5" hidden="1" customHeight="1">
      <c r="B28" s="520" t="s">
        <v>529</v>
      </c>
      <c r="C28" s="527">
        <v>0</v>
      </c>
      <c r="D28" s="528">
        <v>0</v>
      </c>
    </row>
    <row r="29" spans="2:4" ht="19.5" hidden="1" customHeight="1">
      <c r="B29" s="520" t="s">
        <v>530</v>
      </c>
      <c r="C29" s="527">
        <v>29.625175009999996</v>
      </c>
      <c r="D29" s="528">
        <v>30.608000009999998</v>
      </c>
    </row>
    <row r="30" spans="2:4" ht="19.5" hidden="1" customHeight="1">
      <c r="B30" s="520" t="s">
        <v>531</v>
      </c>
      <c r="C30" s="527">
        <v>13.578475909999998</v>
      </c>
      <c r="D30" s="528">
        <v>14.212</v>
      </c>
    </row>
    <row r="31" spans="2:4" ht="19.5" hidden="1" customHeight="1">
      <c r="B31" s="520" t="s">
        <v>532</v>
      </c>
      <c r="C31" s="527">
        <v>2.4243118099999998</v>
      </c>
      <c r="D31" s="528">
        <v>2.5</v>
      </c>
    </row>
    <row r="32" spans="2:4" ht="19.5" hidden="1" customHeight="1">
      <c r="B32" s="529" t="s">
        <v>533</v>
      </c>
      <c r="C32" s="530">
        <v>66.360357430000008</v>
      </c>
      <c r="D32" s="531">
        <v>68.286000020000003</v>
      </c>
    </row>
    <row r="33" spans="2:4" ht="19.5" hidden="1" customHeight="1">
      <c r="B33" s="520" t="s">
        <v>534</v>
      </c>
      <c r="C33" s="527">
        <v>42.936739339999995</v>
      </c>
      <c r="D33" s="528">
        <v>44.442</v>
      </c>
    </row>
    <row r="34" spans="2:4" ht="19.5" hidden="1" customHeight="1">
      <c r="B34" s="520" t="s">
        <v>535</v>
      </c>
      <c r="C34" s="527">
        <v>118.7998025</v>
      </c>
      <c r="D34" s="528">
        <v>124.655</v>
      </c>
    </row>
    <row r="35" spans="2:4" ht="19.5" hidden="1" customHeight="1">
      <c r="B35" s="520" t="s">
        <v>539</v>
      </c>
      <c r="C35" s="527">
        <v>192.3561919</v>
      </c>
      <c r="D35" s="528">
        <v>203.38499999999999</v>
      </c>
    </row>
    <row r="36" spans="2:4" ht="19.5" hidden="1" customHeight="1">
      <c r="B36" s="532" t="s">
        <v>537</v>
      </c>
      <c r="C36" s="533">
        <v>415.09586753999997</v>
      </c>
      <c r="D36" s="534">
        <v>439.38889999999998</v>
      </c>
    </row>
    <row r="37" spans="2:4" ht="18" hidden="1" customHeight="1">
      <c r="B37" s="535" t="s">
        <v>540</v>
      </c>
      <c r="C37" s="536">
        <f>+C9+C11-C24</f>
        <v>413.0219975</v>
      </c>
      <c r="D37" s="537">
        <f>+D9+D11-D24</f>
        <v>427.56630003999999</v>
      </c>
    </row>
    <row r="38" spans="2:4" ht="18" hidden="1" customHeight="1">
      <c r="B38" s="538">
        <v>2010</v>
      </c>
      <c r="C38" s="539"/>
      <c r="D38" s="540"/>
    </row>
    <row r="39" spans="2:4" ht="15.75" hidden="1">
      <c r="B39" s="535" t="s">
        <v>525</v>
      </c>
      <c r="C39" s="536">
        <f>SUM(C40:C53)</f>
        <v>534.59801333000007</v>
      </c>
      <c r="D39" s="537">
        <f>SUM(D40:D53)</f>
        <v>537.68200000000002</v>
      </c>
    </row>
    <row r="40" spans="2:4" ht="15.75" hidden="1">
      <c r="B40" s="520" t="s">
        <v>526</v>
      </c>
      <c r="C40" s="521">
        <f>34711543.69/1000000</f>
        <v>34.711543689999999</v>
      </c>
      <c r="D40" s="522">
        <f>34999900/1000000</f>
        <v>34.999899999999997</v>
      </c>
    </row>
    <row r="41" spans="2:4" ht="15.75" hidden="1">
      <c r="B41" s="520" t="s">
        <v>527</v>
      </c>
      <c r="C41" s="523">
        <f>90971070.19/1000000</f>
        <v>90.971070189999992</v>
      </c>
      <c r="D41" s="524">
        <f>91410100/1000000</f>
        <v>91.4101</v>
      </c>
    </row>
    <row r="42" spans="2:4" ht="15.75" hidden="1">
      <c r="B42" s="520" t="s">
        <v>528</v>
      </c>
      <c r="C42" s="523">
        <f>54793122.2/1000000</f>
        <v>54.793122200000006</v>
      </c>
      <c r="D42" s="524">
        <f>54890000/1000000</f>
        <v>54.89</v>
      </c>
    </row>
    <row r="43" spans="2:4" ht="15.75" hidden="1">
      <c r="B43" s="520" t="s">
        <v>529</v>
      </c>
      <c r="C43" s="525">
        <f>39944507.99/1000000</f>
        <v>39.944507990000005</v>
      </c>
      <c r="D43" s="526">
        <f>40000000/1000000</f>
        <v>40</v>
      </c>
    </row>
    <row r="44" spans="2:4" ht="15.75" hidden="1">
      <c r="B44" s="520" t="s">
        <v>530</v>
      </c>
      <c r="C44" s="525">
        <f>28543541.24/1000000</f>
        <v>28.54354124</v>
      </c>
      <c r="D44" s="526">
        <f>28700000/1000000</f>
        <v>28.7</v>
      </c>
    </row>
    <row r="45" spans="2:4" ht="15.75" hidden="1">
      <c r="B45" s="520" t="s">
        <v>531</v>
      </c>
      <c r="C45" s="525">
        <f>71294347/1000000</f>
        <v>71.294347000000002</v>
      </c>
      <c r="D45" s="526">
        <f>72005000/1000000</f>
        <v>72.004999999999995</v>
      </c>
    </row>
    <row r="46" spans="2:4" ht="15.75" hidden="1">
      <c r="B46" s="520" t="s">
        <v>532</v>
      </c>
      <c r="C46" s="525">
        <f>58823689.14/1000000</f>
        <v>58.823689139999999</v>
      </c>
      <c r="D46" s="526">
        <f>59377000/1000000</f>
        <v>59.377000000000002</v>
      </c>
    </row>
    <row r="47" spans="2:4" ht="15.75" hidden="1">
      <c r="B47" s="520" t="s">
        <v>533</v>
      </c>
      <c r="C47" s="525">
        <f>57860965.19/1000000</f>
        <v>57.860965189999995</v>
      </c>
      <c r="D47" s="526">
        <f>58300000/1000000</f>
        <v>58.3</v>
      </c>
    </row>
    <row r="48" spans="2:4" ht="15.75" hidden="1">
      <c r="B48" s="520" t="s">
        <v>534</v>
      </c>
      <c r="C48" s="525">
        <f>1982170.29/1000000</f>
        <v>1.98217029</v>
      </c>
      <c r="D48" s="526">
        <f>2000000/1000000</f>
        <v>2</v>
      </c>
    </row>
    <row r="49" spans="2:4" ht="15.75" hidden="1">
      <c r="B49" s="520" t="s">
        <v>535</v>
      </c>
      <c r="C49" s="525">
        <f>64862056.4/1000000</f>
        <v>64.8620564</v>
      </c>
      <c r="D49" s="526">
        <f>65000000/1000000</f>
        <v>65</v>
      </c>
    </row>
    <row r="50" spans="2:4" ht="15.75" hidden="1">
      <c r="B50" s="520" t="s">
        <v>534</v>
      </c>
      <c r="C50" s="525"/>
      <c r="D50" s="526"/>
    </row>
    <row r="51" spans="2:4" ht="15.75" hidden="1">
      <c r="B51" s="520" t="s">
        <v>535</v>
      </c>
      <c r="C51" s="525"/>
      <c r="D51" s="526"/>
    </row>
    <row r="52" spans="2:4" ht="15.75" hidden="1">
      <c r="B52" s="520" t="s">
        <v>536</v>
      </c>
      <c r="C52" s="525">
        <v>29.815000000000001</v>
      </c>
      <c r="D52" s="526">
        <v>30</v>
      </c>
    </row>
    <row r="53" spans="2:4" ht="15.75" hidden="1">
      <c r="B53" s="520" t="s">
        <v>537</v>
      </c>
      <c r="C53" s="525">
        <v>0.996</v>
      </c>
      <c r="D53" s="526">
        <v>1</v>
      </c>
    </row>
    <row r="54" spans="2:4" ht="15.75" hidden="1">
      <c r="B54" s="535" t="s">
        <v>538</v>
      </c>
      <c r="C54" s="536">
        <f>SUM(C55:C68)</f>
        <v>758.50123795000002</v>
      </c>
      <c r="D54" s="537">
        <f>SUM(D55:D68)</f>
        <v>774.31798364999997</v>
      </c>
    </row>
    <row r="55" spans="2:4" ht="15.75" hidden="1">
      <c r="B55" s="520" t="s">
        <v>526</v>
      </c>
      <c r="C55" s="527">
        <v>27.938310730000001</v>
      </c>
      <c r="D55" s="528">
        <v>29.4</v>
      </c>
    </row>
    <row r="56" spans="2:4" ht="15.75" hidden="1">
      <c r="B56" s="520" t="s">
        <v>527</v>
      </c>
      <c r="C56" s="527">
        <v>189.70217556999998</v>
      </c>
      <c r="D56" s="528">
        <v>195.33340000000001</v>
      </c>
    </row>
    <row r="57" spans="2:4" ht="15.75" hidden="1">
      <c r="B57" s="520" t="s">
        <v>528</v>
      </c>
      <c r="C57" s="527">
        <v>149.28961766999998</v>
      </c>
      <c r="D57" s="541">
        <v>154.79958365000002</v>
      </c>
    </row>
    <row r="58" spans="2:4" ht="15.75" hidden="1">
      <c r="B58" s="520" t="s">
        <v>529</v>
      </c>
      <c r="C58" s="527">
        <v>0</v>
      </c>
      <c r="D58" s="528">
        <v>0</v>
      </c>
    </row>
    <row r="59" spans="2:4" ht="15.75" hidden="1">
      <c r="B59" s="520" t="s">
        <v>530</v>
      </c>
      <c r="C59" s="527">
        <v>89.545219790000004</v>
      </c>
      <c r="D59" s="528">
        <v>89.889899999999997</v>
      </c>
    </row>
    <row r="60" spans="2:4" ht="15.75" hidden="1">
      <c r="B60" s="520" t="s">
        <v>531</v>
      </c>
      <c r="C60" s="527">
        <v>132.87266771</v>
      </c>
      <c r="D60" s="528">
        <v>133.4101</v>
      </c>
    </row>
    <row r="61" spans="2:4" ht="15.75" hidden="1">
      <c r="B61" s="520" t="s">
        <v>532</v>
      </c>
      <c r="C61" s="527">
        <v>0</v>
      </c>
      <c r="D61" s="528">
        <v>0</v>
      </c>
    </row>
    <row r="62" spans="2:4" ht="15.75" hidden="1">
      <c r="B62" s="529" t="s">
        <v>533</v>
      </c>
      <c r="C62" s="530">
        <v>0</v>
      </c>
      <c r="D62" s="531">
        <v>0</v>
      </c>
    </row>
    <row r="63" spans="2:4" ht="15.75" hidden="1">
      <c r="B63" s="520" t="s">
        <v>534</v>
      </c>
      <c r="C63" s="527">
        <v>0</v>
      </c>
      <c r="D63" s="528">
        <v>0</v>
      </c>
    </row>
    <row r="64" spans="2:4" ht="15.75" hidden="1">
      <c r="B64" s="520" t="s">
        <v>535</v>
      </c>
      <c r="C64" s="527">
        <v>61.365246479999996</v>
      </c>
      <c r="D64" s="528">
        <v>61.65</v>
      </c>
    </row>
    <row r="65" spans="2:4" ht="15.75" hidden="1">
      <c r="B65" s="520" t="s">
        <v>539</v>
      </c>
      <c r="C65" s="527"/>
      <c r="D65" s="528"/>
    </row>
    <row r="66" spans="2:4" ht="15.75" hidden="1">
      <c r="B66" s="520" t="s">
        <v>537</v>
      </c>
      <c r="C66" s="527"/>
      <c r="D66" s="528"/>
    </row>
    <row r="67" spans="2:4" ht="15.75" hidden="1">
      <c r="B67" s="520" t="s">
        <v>536</v>
      </c>
      <c r="C67" s="527">
        <v>52.850999999999999</v>
      </c>
      <c r="D67" s="528">
        <v>54.835000000000001</v>
      </c>
    </row>
    <row r="68" spans="2:4" ht="15.75" hidden="1">
      <c r="B68" s="532" t="s">
        <v>537</v>
      </c>
      <c r="C68" s="533">
        <v>54.936999999999998</v>
      </c>
      <c r="D68" s="534">
        <v>55</v>
      </c>
    </row>
    <row r="69" spans="2:4" ht="15.75" hidden="1">
      <c r="B69" s="542" t="s">
        <v>541</v>
      </c>
      <c r="C69" s="543">
        <f>+C37+C39-C54</f>
        <v>189.11877288000005</v>
      </c>
      <c r="D69" s="544">
        <f>+D37+D39-D54</f>
        <v>190.93031639000003</v>
      </c>
    </row>
    <row r="70" spans="2:4" ht="20.25" hidden="1" customHeight="1">
      <c r="B70" s="545">
        <v>2011</v>
      </c>
      <c r="C70" s="546"/>
      <c r="D70" s="547"/>
    </row>
    <row r="71" spans="2:4" ht="15.75" hidden="1">
      <c r="B71" s="542" t="s">
        <v>525</v>
      </c>
      <c r="C71" s="543">
        <f>SUM(C72:C83)</f>
        <v>774.2</v>
      </c>
      <c r="D71" s="544">
        <f>SUM(D72:D83)</f>
        <v>786.62</v>
      </c>
    </row>
    <row r="72" spans="2:4" ht="15.75" hidden="1">
      <c r="B72" s="520" t="s">
        <v>526</v>
      </c>
      <c r="C72" s="521">
        <v>0</v>
      </c>
      <c r="D72" s="522">
        <v>0</v>
      </c>
    </row>
    <row r="73" spans="2:4" ht="15.75" hidden="1">
      <c r="B73" s="520" t="s">
        <v>527</v>
      </c>
      <c r="C73" s="523">
        <v>46.8</v>
      </c>
      <c r="D73" s="524">
        <v>47</v>
      </c>
    </row>
    <row r="74" spans="2:4" ht="15.75" hidden="1">
      <c r="B74" s="520" t="s">
        <v>528</v>
      </c>
      <c r="C74" s="523">
        <v>145.5</v>
      </c>
      <c r="D74" s="524">
        <v>147.86000000000001</v>
      </c>
    </row>
    <row r="75" spans="2:4" ht="15.75" hidden="1">
      <c r="B75" s="520" t="s">
        <v>529</v>
      </c>
      <c r="C75" s="525">
        <v>50.7</v>
      </c>
      <c r="D75" s="526">
        <v>51.55</v>
      </c>
    </row>
    <row r="76" spans="2:4" ht="15.75" hidden="1">
      <c r="B76" s="520" t="s">
        <v>530</v>
      </c>
      <c r="C76" s="525">
        <v>23.7</v>
      </c>
      <c r="D76" s="526">
        <v>24.3</v>
      </c>
    </row>
    <row r="77" spans="2:4" ht="15.75" hidden="1">
      <c r="B77" s="520" t="s">
        <v>531</v>
      </c>
      <c r="C77" s="525">
        <v>48</v>
      </c>
      <c r="D77" s="526">
        <v>48.7</v>
      </c>
    </row>
    <row r="78" spans="2:4" ht="15.75" hidden="1">
      <c r="B78" s="520" t="s">
        <v>532</v>
      </c>
      <c r="C78" s="525">
        <v>128.19999999999999</v>
      </c>
      <c r="D78" s="526">
        <v>129.9</v>
      </c>
    </row>
    <row r="79" spans="2:4" ht="15.75" hidden="1">
      <c r="B79" s="529" t="s">
        <v>533</v>
      </c>
      <c r="C79" s="525">
        <v>96.2</v>
      </c>
      <c r="D79" s="526">
        <v>97.8</v>
      </c>
    </row>
    <row r="80" spans="2:4" ht="15.75" hidden="1">
      <c r="B80" s="520" t="s">
        <v>534</v>
      </c>
      <c r="C80" s="525">
        <v>75.5</v>
      </c>
      <c r="D80" s="526">
        <v>76.7</v>
      </c>
    </row>
    <row r="81" spans="2:4" ht="15.75" hidden="1">
      <c r="B81" s="520" t="s">
        <v>535</v>
      </c>
      <c r="C81" s="525">
        <v>35.1</v>
      </c>
      <c r="D81" s="526">
        <v>35.799999999999997</v>
      </c>
    </row>
    <row r="82" spans="2:4" ht="15.75" hidden="1">
      <c r="B82" s="520" t="s">
        <v>539</v>
      </c>
      <c r="C82" s="525">
        <v>38.1</v>
      </c>
      <c r="D82" s="526">
        <v>39.1</v>
      </c>
    </row>
    <row r="83" spans="2:4" ht="15.75" hidden="1">
      <c r="B83" s="520" t="s">
        <v>537</v>
      </c>
      <c r="C83" s="525">
        <v>86.4</v>
      </c>
      <c r="D83" s="526">
        <v>87.91</v>
      </c>
    </row>
    <row r="84" spans="2:4" ht="15.75" hidden="1">
      <c r="B84" s="542" t="s">
        <v>538</v>
      </c>
      <c r="C84" s="543">
        <f>SUM(C85:C96)</f>
        <v>403.97999999999996</v>
      </c>
      <c r="D84" s="544">
        <f>SUM(D85:D96)</f>
        <v>407.62</v>
      </c>
    </row>
    <row r="85" spans="2:4" ht="15.75" hidden="1">
      <c r="B85" s="520" t="s">
        <v>526</v>
      </c>
      <c r="C85" s="527">
        <v>0</v>
      </c>
      <c r="D85" s="528">
        <v>0</v>
      </c>
    </row>
    <row r="86" spans="2:4" ht="15.75" hidden="1">
      <c r="B86" s="520" t="s">
        <v>527</v>
      </c>
      <c r="C86" s="527">
        <v>0</v>
      </c>
      <c r="D86" s="528">
        <v>0</v>
      </c>
    </row>
    <row r="87" spans="2:4" ht="15.75" hidden="1">
      <c r="B87" s="520" t="s">
        <v>528</v>
      </c>
      <c r="C87" s="527">
        <v>119.44</v>
      </c>
      <c r="D87" s="528">
        <v>120.48</v>
      </c>
    </row>
    <row r="88" spans="2:4" ht="15.75" hidden="1">
      <c r="B88" s="520" t="s">
        <v>529</v>
      </c>
      <c r="C88" s="527">
        <v>0</v>
      </c>
      <c r="D88" s="528">
        <v>0</v>
      </c>
    </row>
    <row r="89" spans="2:4" ht="15.75" hidden="1">
      <c r="B89" s="520" t="s">
        <v>530</v>
      </c>
      <c r="C89" s="527">
        <v>29.9</v>
      </c>
      <c r="D89" s="528">
        <v>30</v>
      </c>
    </row>
    <row r="90" spans="2:4" ht="15.75" hidden="1">
      <c r="B90" s="520" t="s">
        <v>531</v>
      </c>
      <c r="C90" s="527">
        <v>44</v>
      </c>
      <c r="D90" s="528">
        <v>44.64</v>
      </c>
    </row>
    <row r="91" spans="2:4" ht="15.75" hidden="1">
      <c r="B91" s="520" t="s">
        <v>532</v>
      </c>
      <c r="C91" s="527">
        <v>0</v>
      </c>
      <c r="D91" s="528">
        <v>0</v>
      </c>
    </row>
    <row r="92" spans="2:4" ht="15.75" hidden="1">
      <c r="B92" s="529" t="s">
        <v>533</v>
      </c>
      <c r="C92" s="527">
        <v>79.099999999999994</v>
      </c>
      <c r="D92" s="528">
        <v>79.7</v>
      </c>
    </row>
    <row r="93" spans="2:4" ht="15.75" hidden="1">
      <c r="B93" s="520" t="s">
        <v>534</v>
      </c>
      <c r="C93" s="527">
        <v>27.9</v>
      </c>
      <c r="D93" s="528">
        <v>28.1</v>
      </c>
    </row>
    <row r="94" spans="2:4" ht="15.75" hidden="1">
      <c r="B94" s="520" t="s">
        <v>535</v>
      </c>
      <c r="C94" s="527">
        <v>55.5</v>
      </c>
      <c r="D94" s="528">
        <v>56.3</v>
      </c>
    </row>
    <row r="95" spans="2:4" ht="15.75" hidden="1">
      <c r="B95" s="520" t="s">
        <v>539</v>
      </c>
      <c r="C95" s="527">
        <v>0</v>
      </c>
      <c r="D95" s="528">
        <v>0</v>
      </c>
    </row>
    <row r="96" spans="2:4" ht="15.75" hidden="1">
      <c r="B96" s="532" t="s">
        <v>537</v>
      </c>
      <c r="C96" s="533">
        <v>48.14</v>
      </c>
      <c r="D96" s="534">
        <v>48.4</v>
      </c>
    </row>
    <row r="97" spans="2:4" ht="21" hidden="1" customHeight="1">
      <c r="B97" s="542" t="s">
        <v>542</v>
      </c>
      <c r="C97" s="543">
        <f>C69+C71-C84</f>
        <v>559.33877288000008</v>
      </c>
      <c r="D97" s="544">
        <f>D69+D71-D84</f>
        <v>569.93031639000003</v>
      </c>
    </row>
    <row r="98" spans="2:4" ht="15" hidden="1" customHeight="1">
      <c r="B98" s="548">
        <v>2012</v>
      </c>
      <c r="C98" s="549"/>
      <c r="D98" s="550"/>
    </row>
    <row r="99" spans="2:4" ht="21" hidden="1" customHeight="1">
      <c r="B99" s="542" t="s">
        <v>525</v>
      </c>
      <c r="C99" s="543">
        <f>SUM(C100:C111)</f>
        <v>1125.3819999999998</v>
      </c>
      <c r="D99" s="544">
        <f>SUM(D100:D111)</f>
        <v>1159.7450000000001</v>
      </c>
    </row>
    <row r="100" spans="2:4" ht="12.95" hidden="1" customHeight="1">
      <c r="B100" s="520" t="s">
        <v>526</v>
      </c>
      <c r="C100" s="521">
        <v>1.9470000000000001</v>
      </c>
      <c r="D100" s="522">
        <v>2</v>
      </c>
    </row>
    <row r="101" spans="2:4" ht="12.95" hidden="1" customHeight="1">
      <c r="B101" s="520" t="s">
        <v>527</v>
      </c>
      <c r="C101" s="523">
        <v>70.400999999999996</v>
      </c>
      <c r="D101" s="524">
        <v>71.734999999999999</v>
      </c>
    </row>
    <row r="102" spans="2:4" ht="12.95" hidden="1" customHeight="1">
      <c r="B102" s="520" t="s">
        <v>528</v>
      </c>
      <c r="C102" s="523">
        <v>176.404</v>
      </c>
      <c r="D102" s="524">
        <v>179.32</v>
      </c>
    </row>
    <row r="103" spans="2:4" ht="12.95" hidden="1" customHeight="1">
      <c r="B103" s="520" t="s">
        <v>529</v>
      </c>
      <c r="C103" s="523">
        <v>40.5</v>
      </c>
      <c r="D103" s="524">
        <v>41.42</v>
      </c>
    </row>
    <row r="104" spans="2:4" ht="12.95" hidden="1" customHeight="1">
      <c r="B104" s="520" t="s">
        <v>530</v>
      </c>
      <c r="C104" s="523">
        <v>96.24</v>
      </c>
      <c r="D104" s="524">
        <v>98.58</v>
      </c>
    </row>
    <row r="105" spans="2:4" ht="12.95" hidden="1" customHeight="1">
      <c r="B105" s="520" t="s">
        <v>531</v>
      </c>
      <c r="C105" s="523">
        <v>88.89</v>
      </c>
      <c r="D105" s="524">
        <v>91.5</v>
      </c>
    </row>
    <row r="106" spans="2:4" ht="12.95" hidden="1" customHeight="1">
      <c r="B106" s="520" t="s">
        <v>532</v>
      </c>
      <c r="C106" s="523">
        <v>127.6</v>
      </c>
      <c r="D106" s="524">
        <v>131.80000000000001</v>
      </c>
    </row>
    <row r="107" spans="2:4" ht="12.95" hidden="1" customHeight="1">
      <c r="B107" s="529" t="s">
        <v>533</v>
      </c>
      <c r="C107" s="523">
        <v>97.4</v>
      </c>
      <c r="D107" s="524">
        <v>100.5</v>
      </c>
    </row>
    <row r="108" spans="2:4" ht="12.95" hidden="1" customHeight="1">
      <c r="B108" s="520" t="s">
        <v>534</v>
      </c>
      <c r="C108" s="523">
        <v>90.4</v>
      </c>
      <c r="D108" s="524">
        <v>93.9</v>
      </c>
    </row>
    <row r="109" spans="2:4" ht="12.95" hidden="1" customHeight="1">
      <c r="B109" s="520" t="s">
        <v>535</v>
      </c>
      <c r="C109" s="523">
        <v>123.6</v>
      </c>
      <c r="D109" s="524">
        <v>128.69999999999999</v>
      </c>
    </row>
    <row r="110" spans="2:4" ht="12.95" hidden="1" customHeight="1">
      <c r="B110" s="520" t="s">
        <v>539</v>
      </c>
      <c r="C110" s="523">
        <v>104.4</v>
      </c>
      <c r="D110" s="524">
        <v>108.4</v>
      </c>
    </row>
    <row r="111" spans="2:4" ht="12.95" hidden="1" customHeight="1">
      <c r="B111" s="532" t="s">
        <v>537</v>
      </c>
      <c r="C111" s="523">
        <v>107.6</v>
      </c>
      <c r="D111" s="524">
        <v>111.89</v>
      </c>
    </row>
    <row r="112" spans="2:4" ht="21" hidden="1" customHeight="1">
      <c r="B112" s="542" t="s">
        <v>538</v>
      </c>
      <c r="C112" s="543">
        <f>SUM(C113:C124)</f>
        <v>848.74999999999989</v>
      </c>
      <c r="D112" s="544">
        <f>SUM(D113:D124)</f>
        <v>862.34900000000005</v>
      </c>
    </row>
    <row r="113" spans="2:4" ht="12.95" hidden="1" customHeight="1">
      <c r="B113" s="520" t="s">
        <v>526</v>
      </c>
      <c r="C113" s="527">
        <v>0</v>
      </c>
      <c r="D113" s="528">
        <v>0</v>
      </c>
    </row>
    <row r="114" spans="2:4" ht="12.95" hidden="1" customHeight="1">
      <c r="B114" s="520" t="s">
        <v>527</v>
      </c>
      <c r="C114" s="527">
        <v>65.947000000000003</v>
      </c>
      <c r="D114" s="528">
        <v>67.384</v>
      </c>
    </row>
    <row r="115" spans="2:4" ht="12.95" hidden="1" customHeight="1">
      <c r="B115" s="520" t="s">
        <v>528</v>
      </c>
      <c r="C115" s="527">
        <v>44.113</v>
      </c>
      <c r="D115" s="528">
        <v>44.325000000000003</v>
      </c>
    </row>
    <row r="116" spans="2:4" ht="12.95" hidden="1" customHeight="1">
      <c r="B116" s="520" t="s">
        <v>529</v>
      </c>
      <c r="C116" s="527">
        <v>111.37</v>
      </c>
      <c r="D116" s="528">
        <v>113.15</v>
      </c>
    </row>
    <row r="117" spans="2:4" ht="12.95" hidden="1" customHeight="1">
      <c r="B117" s="520" t="s">
        <v>530</v>
      </c>
      <c r="C117" s="527">
        <v>105.69</v>
      </c>
      <c r="D117" s="528">
        <v>106.79</v>
      </c>
    </row>
    <row r="118" spans="2:4" ht="12.95" hidden="1" customHeight="1">
      <c r="B118" s="520" t="s">
        <v>531</v>
      </c>
      <c r="C118" s="527">
        <v>49.53</v>
      </c>
      <c r="D118" s="528">
        <v>49.85</v>
      </c>
    </row>
    <row r="119" spans="2:4" ht="12.95" hidden="1" customHeight="1">
      <c r="B119" s="520" t="s">
        <v>532</v>
      </c>
      <c r="C119" s="527">
        <v>80.099999999999994</v>
      </c>
      <c r="D119" s="528">
        <v>81.5</v>
      </c>
    </row>
    <row r="120" spans="2:4" ht="12.95" hidden="1" customHeight="1">
      <c r="B120" s="529" t="s">
        <v>533</v>
      </c>
      <c r="C120" s="527">
        <v>93.8</v>
      </c>
      <c r="D120" s="528">
        <v>95.5</v>
      </c>
    </row>
    <row r="121" spans="2:4" ht="12.95" hidden="1" customHeight="1">
      <c r="B121" s="520" t="s">
        <v>534</v>
      </c>
      <c r="C121" s="527">
        <v>78.099999999999994</v>
      </c>
      <c r="D121" s="528">
        <v>79</v>
      </c>
    </row>
    <row r="122" spans="2:4" ht="12.95" hidden="1" customHeight="1">
      <c r="B122" s="520" t="s">
        <v>535</v>
      </c>
      <c r="C122" s="527">
        <v>98.8</v>
      </c>
      <c r="D122" s="528">
        <v>101</v>
      </c>
    </row>
    <row r="123" spans="2:4" ht="12.95" hidden="1" customHeight="1">
      <c r="B123" s="520" t="s">
        <v>539</v>
      </c>
      <c r="C123" s="527">
        <v>72.5</v>
      </c>
      <c r="D123" s="528">
        <v>74.400000000000006</v>
      </c>
    </row>
    <row r="124" spans="2:4" ht="12.95" hidden="1" customHeight="1">
      <c r="B124" s="532" t="s">
        <v>537</v>
      </c>
      <c r="C124" s="533">
        <v>48.8</v>
      </c>
      <c r="D124" s="534">
        <v>49.45</v>
      </c>
    </row>
    <row r="125" spans="2:4" ht="21" hidden="1" customHeight="1">
      <c r="B125" s="542" t="s">
        <v>543</v>
      </c>
      <c r="C125" s="543">
        <f>C97+C99-C112</f>
        <v>835.97077288000003</v>
      </c>
      <c r="D125" s="544">
        <f>D97+D99-D112</f>
        <v>867.32631639000022</v>
      </c>
    </row>
    <row r="126" spans="2:4" ht="15" hidden="1" customHeight="1">
      <c r="B126" s="548">
        <v>2013</v>
      </c>
      <c r="C126" s="549"/>
      <c r="D126" s="550"/>
    </row>
    <row r="127" spans="2:4" ht="21" hidden="1" customHeight="1">
      <c r="B127" s="542" t="s">
        <v>525</v>
      </c>
      <c r="C127" s="543">
        <f>SUM(C128:C139)</f>
        <v>684.77169505000006</v>
      </c>
      <c r="D127" s="544">
        <f>SUM(D128:D139)</f>
        <v>707.04699999999991</v>
      </c>
    </row>
    <row r="128" spans="2:4" ht="12.95" hidden="1" customHeight="1">
      <c r="B128" s="520" t="s">
        <v>526</v>
      </c>
      <c r="C128" s="527">
        <v>95.969317700000005</v>
      </c>
      <c r="D128" s="528">
        <v>98.284999999999997</v>
      </c>
    </row>
    <row r="129" spans="2:4" ht="12.95" hidden="1" customHeight="1">
      <c r="B129" s="520" t="s">
        <v>527</v>
      </c>
      <c r="C129" s="527">
        <v>76.434509140000003</v>
      </c>
      <c r="D129" s="528">
        <v>79.099999999999994</v>
      </c>
    </row>
    <row r="130" spans="2:4" ht="12.95" hidden="1" customHeight="1">
      <c r="B130" s="520" t="s">
        <v>528</v>
      </c>
      <c r="C130" s="527">
        <f>59114612.34/1000000</f>
        <v>59.114612340000001</v>
      </c>
      <c r="D130" s="528">
        <f>61316000/1000000</f>
        <v>61.316000000000003</v>
      </c>
    </row>
    <row r="131" spans="2:4" ht="12.95" hidden="1" customHeight="1">
      <c r="B131" s="520" t="s">
        <v>529</v>
      </c>
      <c r="C131" s="527">
        <f>13896570.96/1000000</f>
        <v>13.89657096</v>
      </c>
      <c r="D131" s="528">
        <f>14427000/1000000</f>
        <v>14.427</v>
      </c>
    </row>
    <row r="132" spans="2:4" ht="12.95" hidden="1" customHeight="1">
      <c r="B132" s="520" t="s">
        <v>530</v>
      </c>
      <c r="C132" s="527"/>
      <c r="D132" s="528"/>
    </row>
    <row r="133" spans="2:4" ht="12.95" hidden="1" customHeight="1">
      <c r="B133" s="520" t="s">
        <v>531</v>
      </c>
      <c r="C133" s="527">
        <v>70.390008570000006</v>
      </c>
      <c r="D133" s="528">
        <v>72.581999999999994</v>
      </c>
    </row>
    <row r="134" spans="2:4" ht="15.75" hidden="1" customHeight="1">
      <c r="B134" s="520" t="s">
        <v>532</v>
      </c>
      <c r="C134" s="527">
        <f>100454169.18/1000000</f>
        <v>100.45416918000001</v>
      </c>
      <c r="D134" s="528">
        <f>104032000/1000000</f>
        <v>104.032</v>
      </c>
    </row>
    <row r="135" spans="2:4" ht="15.75" hidden="1" customHeight="1">
      <c r="B135" s="529" t="s">
        <v>533</v>
      </c>
      <c r="C135" s="527">
        <f>38639433.39/1000000</f>
        <v>38.639433390000001</v>
      </c>
      <c r="D135" s="528">
        <f>39500000/1000000</f>
        <v>39.5</v>
      </c>
    </row>
    <row r="136" spans="2:4" ht="15.75" hidden="1" customHeight="1">
      <c r="B136" s="520" t="s">
        <v>534</v>
      </c>
      <c r="C136" s="527">
        <f>49808140.65/1000000</f>
        <v>49.808140649999999</v>
      </c>
      <c r="D136" s="528">
        <f>51590000/1000000</f>
        <v>51.59</v>
      </c>
    </row>
    <row r="137" spans="2:4" ht="15.75" hidden="1" customHeight="1">
      <c r="B137" s="520" t="s">
        <v>535</v>
      </c>
      <c r="C137" s="527">
        <f>46406351/1000000</f>
        <v>46.406351000000001</v>
      </c>
      <c r="D137" s="528">
        <f>47775000/1000000</f>
        <v>47.774999999999999</v>
      </c>
    </row>
    <row r="138" spans="2:4" ht="15.75" hidden="1" customHeight="1">
      <c r="B138" s="520" t="s">
        <v>539</v>
      </c>
      <c r="C138" s="527">
        <f>60304104.57/1000000</f>
        <v>60.30410457</v>
      </c>
      <c r="D138" s="528">
        <f>62670000/1000000</f>
        <v>62.67</v>
      </c>
    </row>
    <row r="139" spans="2:4" ht="15.75" hidden="1" customHeight="1">
      <c r="B139" s="532" t="s">
        <v>537</v>
      </c>
      <c r="C139" s="533">
        <v>73.354477549999999</v>
      </c>
      <c r="D139" s="534">
        <v>75.77</v>
      </c>
    </row>
    <row r="140" spans="2:4" ht="21" hidden="1" customHeight="1">
      <c r="B140" s="542" t="s">
        <v>538</v>
      </c>
      <c r="C140" s="543">
        <f>SUM(C141:C152)</f>
        <v>913.30975488000001</v>
      </c>
      <c r="D140" s="544">
        <f>SUM(D141:D152)</f>
        <v>945.56170000000009</v>
      </c>
    </row>
    <row r="141" spans="2:4" ht="12.95" hidden="1" customHeight="1">
      <c r="B141" s="520" t="s">
        <v>526</v>
      </c>
      <c r="C141" s="527">
        <v>392.56246456999997</v>
      </c>
      <c r="D141" s="528">
        <v>404.52190000000002</v>
      </c>
    </row>
    <row r="142" spans="2:4" ht="12.95" hidden="1" customHeight="1">
      <c r="B142" s="520" t="s">
        <v>527</v>
      </c>
      <c r="C142" s="527"/>
      <c r="D142" s="528"/>
    </row>
    <row r="143" spans="2:4" ht="12.95" hidden="1" customHeight="1">
      <c r="B143" s="520" t="s">
        <v>528</v>
      </c>
      <c r="C143" s="527"/>
      <c r="D143" s="528"/>
    </row>
    <row r="144" spans="2:4" ht="12.95" hidden="1" customHeight="1">
      <c r="B144" s="520" t="s">
        <v>529</v>
      </c>
      <c r="C144" s="527"/>
      <c r="D144" s="528"/>
    </row>
    <row r="145" spans="2:4" ht="12.95" hidden="1" customHeight="1">
      <c r="B145" s="520" t="s">
        <v>530</v>
      </c>
      <c r="C145" s="527">
        <f>85221423.13/1000000</f>
        <v>85.221423129999991</v>
      </c>
      <c r="D145" s="528">
        <v>88.161799999999999</v>
      </c>
    </row>
    <row r="146" spans="2:4" ht="12.95" hidden="1" customHeight="1">
      <c r="B146" s="520" t="s">
        <v>531</v>
      </c>
      <c r="C146" s="527">
        <v>74.877193059999996</v>
      </c>
      <c r="D146" s="528">
        <v>77.522999999999996</v>
      </c>
    </row>
    <row r="147" spans="2:4" ht="15" hidden="1" customHeight="1">
      <c r="B147" s="520" t="s">
        <v>532</v>
      </c>
      <c r="C147" s="527">
        <f>194580738.86/1000000</f>
        <v>194.58073886000003</v>
      </c>
      <c r="D147" s="528">
        <v>201.64410000000001</v>
      </c>
    </row>
    <row r="148" spans="2:4" ht="15" hidden="1" customHeight="1">
      <c r="B148" s="529" t="s">
        <v>533</v>
      </c>
      <c r="C148" s="527"/>
      <c r="D148" s="528"/>
    </row>
    <row r="149" spans="2:4" ht="15" hidden="1" customHeight="1">
      <c r="B149" s="520" t="s">
        <v>534</v>
      </c>
      <c r="C149" s="527">
        <f>25583887.07/1000000</f>
        <v>25.583887069999999</v>
      </c>
      <c r="D149" s="528">
        <f>26801200/1000000</f>
        <v>26.801200000000001</v>
      </c>
    </row>
    <row r="150" spans="2:4" ht="15" hidden="1" customHeight="1">
      <c r="B150" s="520" t="s">
        <v>535</v>
      </c>
      <c r="C150" s="527">
        <f>57034431.01/1000000</f>
        <v>57.034431009999999</v>
      </c>
      <c r="D150" s="528">
        <f>59181000/1000000</f>
        <v>59.180999999999997</v>
      </c>
    </row>
    <row r="151" spans="2:4" ht="15" hidden="1" customHeight="1">
      <c r="B151" s="520" t="s">
        <v>539</v>
      </c>
      <c r="C151" s="527">
        <f>62369072.44/1000000</f>
        <v>62.369072439999997</v>
      </c>
      <c r="D151" s="528">
        <f>65530000/1000000</f>
        <v>65.53</v>
      </c>
    </row>
    <row r="152" spans="2:4" ht="15" hidden="1" customHeight="1">
      <c r="B152" s="532" t="s">
        <v>537</v>
      </c>
      <c r="C152" s="533">
        <v>21.080544740000001</v>
      </c>
      <c r="D152" s="534">
        <f>22198700/1000000</f>
        <v>22.198699999999999</v>
      </c>
    </row>
    <row r="153" spans="2:4" ht="21" hidden="1" customHeight="1">
      <c r="B153" s="551" t="s">
        <v>544</v>
      </c>
      <c r="C153" s="552">
        <f>C125+C127-C140</f>
        <v>607.43271305000019</v>
      </c>
      <c r="D153" s="553">
        <f>D125+D127-D140</f>
        <v>628.81161639000004</v>
      </c>
    </row>
    <row r="154" spans="2:4" ht="15.75" hidden="1">
      <c r="B154" s="548">
        <v>2014</v>
      </c>
      <c r="C154" s="549"/>
      <c r="D154" s="550"/>
    </row>
    <row r="155" spans="2:4" ht="15.75" hidden="1">
      <c r="B155" s="551" t="s">
        <v>525</v>
      </c>
      <c r="C155" s="552">
        <f>SUM(C156:C167)</f>
        <v>1147.4723124299999</v>
      </c>
      <c r="D155" s="553">
        <f>SUM(D156:D167)</f>
        <v>1190.0784999999996</v>
      </c>
    </row>
    <row r="156" spans="2:4" ht="15.75" hidden="1">
      <c r="B156" s="520" t="s">
        <v>526</v>
      </c>
      <c r="C156" s="527">
        <v>139.78455328999999</v>
      </c>
      <c r="D156" s="528">
        <v>143.86449999999999</v>
      </c>
    </row>
    <row r="157" spans="2:4" ht="15.75" hidden="1">
      <c r="B157" s="520" t="s">
        <v>527</v>
      </c>
      <c r="C157" s="527">
        <v>95.400987450000002</v>
      </c>
      <c r="D157" s="528">
        <v>98.265000000000001</v>
      </c>
    </row>
    <row r="158" spans="2:4" ht="15.75" hidden="1">
      <c r="B158" s="520" t="s">
        <v>528</v>
      </c>
      <c r="C158" s="527">
        <v>124.76651099</v>
      </c>
      <c r="D158" s="528">
        <v>129.22200000000001</v>
      </c>
    </row>
    <row r="159" spans="2:4" ht="15.75" hidden="1">
      <c r="B159" s="520" t="s">
        <v>529</v>
      </c>
      <c r="C159" s="527">
        <v>42.036577250000001</v>
      </c>
      <c r="D159" s="528">
        <v>44.21</v>
      </c>
    </row>
    <row r="160" spans="2:4" ht="15.75" hidden="1">
      <c r="B160" s="520" t="s">
        <v>530</v>
      </c>
      <c r="C160" s="527">
        <v>56.13831485</v>
      </c>
      <c r="D160" s="528">
        <v>58.45</v>
      </c>
    </row>
    <row r="161" spans="2:4" ht="15.75" hidden="1">
      <c r="B161" s="520" t="s">
        <v>531</v>
      </c>
      <c r="C161" s="527">
        <v>115.33684443999999</v>
      </c>
      <c r="D161" s="528">
        <v>120.39</v>
      </c>
    </row>
    <row r="162" spans="2:4" ht="15.75" hidden="1">
      <c r="B162" s="520" t="s">
        <v>532</v>
      </c>
      <c r="C162" s="527">
        <v>178.80991864999999</v>
      </c>
      <c r="D162" s="528">
        <v>186.374</v>
      </c>
    </row>
    <row r="163" spans="2:4" ht="15.75" hidden="1">
      <c r="B163" s="529" t="s">
        <v>533</v>
      </c>
      <c r="C163" s="527">
        <v>93.698032760000004</v>
      </c>
      <c r="D163" s="528">
        <v>97.56</v>
      </c>
    </row>
    <row r="164" spans="2:4" ht="15.75" hidden="1">
      <c r="B164" s="520" t="s">
        <v>534</v>
      </c>
      <c r="C164" s="527">
        <v>138.89420229999999</v>
      </c>
      <c r="D164" s="528">
        <v>144.16999999999999</v>
      </c>
    </row>
    <row r="165" spans="2:4" ht="15.75" hidden="1">
      <c r="B165" s="520" t="s">
        <v>535</v>
      </c>
      <c r="C165" s="527">
        <v>59.92201764</v>
      </c>
      <c r="D165" s="528">
        <v>61.7</v>
      </c>
    </row>
    <row r="166" spans="2:4" ht="15.75" hidden="1">
      <c r="B166" s="520" t="s">
        <v>539</v>
      </c>
      <c r="C166" s="527">
        <v>57.442991939999999</v>
      </c>
      <c r="D166" s="528">
        <v>59.273000000000003</v>
      </c>
    </row>
    <row r="167" spans="2:4" ht="15.75" hidden="1">
      <c r="B167" s="532" t="s">
        <v>537</v>
      </c>
      <c r="C167" s="533">
        <v>45.241360869999994</v>
      </c>
      <c r="D167" s="534">
        <v>46.6</v>
      </c>
    </row>
    <row r="168" spans="2:4" ht="15.75" hidden="1">
      <c r="B168" s="551" t="s">
        <v>538</v>
      </c>
      <c r="C168" s="552">
        <f>SUM(C169:C180)</f>
        <v>1437.76001651</v>
      </c>
      <c r="D168" s="553">
        <f>SUM(D169:D180)</f>
        <v>1489.9800004900001</v>
      </c>
    </row>
    <row r="169" spans="2:4" ht="15.75" hidden="1">
      <c r="B169" s="520" t="s">
        <v>526</v>
      </c>
      <c r="C169" s="527">
        <v>69.727102410000001</v>
      </c>
      <c r="D169" s="528">
        <v>72.3</v>
      </c>
    </row>
    <row r="170" spans="2:4" ht="15.75" hidden="1">
      <c r="B170" s="520" t="s">
        <v>527</v>
      </c>
      <c r="C170" s="527">
        <v>77.054494059999996</v>
      </c>
      <c r="D170" s="528">
        <v>79.411000000000001</v>
      </c>
    </row>
    <row r="171" spans="2:4" ht="15.75" hidden="1">
      <c r="B171" s="520" t="s">
        <v>528</v>
      </c>
      <c r="C171" s="527">
        <v>62.183959700000003</v>
      </c>
      <c r="D171" s="528">
        <v>63.9465</v>
      </c>
    </row>
    <row r="172" spans="2:4" ht="15.75" hidden="1">
      <c r="B172" s="520" t="s">
        <v>529</v>
      </c>
      <c r="C172" s="527">
        <v>78.959200420000002</v>
      </c>
      <c r="D172" s="528">
        <v>80.805000000000007</v>
      </c>
    </row>
    <row r="173" spans="2:4" ht="15.75" hidden="1">
      <c r="B173" s="520" t="s">
        <v>530</v>
      </c>
      <c r="C173" s="527">
        <v>121.78660786</v>
      </c>
      <c r="D173" s="528">
        <v>124.36</v>
      </c>
    </row>
    <row r="174" spans="2:4" ht="15.75" hidden="1">
      <c r="B174" s="520" t="s">
        <v>531</v>
      </c>
      <c r="C174" s="527">
        <v>60.57154568</v>
      </c>
      <c r="D174" s="528">
        <v>62.003999999999998</v>
      </c>
    </row>
    <row r="175" spans="2:4" ht="15.75" hidden="1">
      <c r="B175" s="520" t="s">
        <v>532</v>
      </c>
      <c r="C175" s="527">
        <v>85.020041550000002</v>
      </c>
      <c r="D175" s="528">
        <v>88.182000000000002</v>
      </c>
    </row>
    <row r="176" spans="2:4" ht="15.75" hidden="1">
      <c r="B176" s="529" t="s">
        <v>533</v>
      </c>
      <c r="C176" s="527">
        <v>60.228518860000001</v>
      </c>
      <c r="D176" s="528">
        <v>61.755000000000003</v>
      </c>
    </row>
    <row r="177" spans="2:4" ht="15.75" hidden="1">
      <c r="B177" s="520" t="s">
        <v>534</v>
      </c>
      <c r="C177" s="527">
        <v>822.22854597000003</v>
      </c>
      <c r="D177" s="528">
        <v>857.21650049000004</v>
      </c>
    </row>
    <row r="178" spans="2:4" ht="15.75" hidden="1">
      <c r="B178" s="520" t="s">
        <v>535</v>
      </c>
      <c r="C178" s="527">
        <v>0</v>
      </c>
      <c r="D178" s="528">
        <v>0</v>
      </c>
    </row>
    <row r="179" spans="2:4" ht="15.75" hidden="1">
      <c r="B179" s="520" t="s">
        <v>539</v>
      </c>
      <c r="C179" s="527">
        <v>0</v>
      </c>
      <c r="D179" s="528">
        <v>0</v>
      </c>
    </row>
    <row r="180" spans="2:4" ht="15.75" hidden="1">
      <c r="B180" s="532" t="s">
        <v>537</v>
      </c>
      <c r="C180" s="533">
        <v>0</v>
      </c>
      <c r="D180" s="534">
        <v>0</v>
      </c>
    </row>
    <row r="181" spans="2:4" ht="15.75" hidden="1">
      <c r="B181" s="551" t="s">
        <v>545</v>
      </c>
      <c r="C181" s="552">
        <f>C153+C155-C168</f>
        <v>317.14500896999994</v>
      </c>
      <c r="D181" s="553">
        <f>D153+D155-D168</f>
        <v>328.91011589999948</v>
      </c>
    </row>
    <row r="182" spans="2:4" ht="15.75" hidden="1">
      <c r="B182" s="548">
        <v>2015</v>
      </c>
      <c r="C182" s="549"/>
      <c r="D182" s="550"/>
    </row>
    <row r="183" spans="2:4" ht="15.75" hidden="1">
      <c r="B183" s="551" t="s">
        <v>525</v>
      </c>
      <c r="C183" s="552">
        <f>SUM(C184:C195)</f>
        <v>223.40368131999998</v>
      </c>
      <c r="D183" s="553">
        <f>SUM(D184:D195)</f>
        <v>229.13</v>
      </c>
    </row>
    <row r="184" spans="2:4" ht="15.75" hidden="1">
      <c r="B184" s="520" t="s">
        <v>526</v>
      </c>
      <c r="C184" s="527">
        <v>42.374853639999998</v>
      </c>
      <c r="D184" s="528">
        <v>43.18</v>
      </c>
    </row>
    <row r="185" spans="2:4" ht="15.75" hidden="1">
      <c r="B185" s="520" t="s">
        <v>527</v>
      </c>
      <c r="C185" s="527">
        <v>75.669691150000006</v>
      </c>
      <c r="D185" s="528">
        <v>77.7</v>
      </c>
    </row>
    <row r="186" spans="2:4" ht="15.75" hidden="1">
      <c r="B186" s="520" t="s">
        <v>528</v>
      </c>
      <c r="C186" s="527">
        <v>34.022963509999997</v>
      </c>
      <c r="D186" s="528">
        <v>35</v>
      </c>
    </row>
    <row r="187" spans="2:4" ht="15.75" hidden="1">
      <c r="B187" s="520" t="s">
        <v>529</v>
      </c>
      <c r="C187" s="527">
        <v>35.018771340000001</v>
      </c>
      <c r="D187" s="528">
        <v>36</v>
      </c>
    </row>
    <row r="188" spans="2:4" ht="15.75" hidden="1">
      <c r="B188" s="520" t="s">
        <v>530</v>
      </c>
      <c r="C188" s="527"/>
      <c r="D188" s="528"/>
    </row>
    <row r="189" spans="2:4" ht="15.75" hidden="1">
      <c r="B189" s="520" t="s">
        <v>531</v>
      </c>
      <c r="C189" s="527">
        <v>36.317401680000003</v>
      </c>
      <c r="D189" s="528">
        <v>37.25</v>
      </c>
    </row>
    <row r="190" spans="2:4" ht="15.75" hidden="1">
      <c r="B190" s="520" t="s">
        <v>532</v>
      </c>
      <c r="C190" s="527"/>
      <c r="D190" s="528"/>
    </row>
    <row r="191" spans="2:4" ht="15.75" hidden="1">
      <c r="B191" s="529" t="s">
        <v>533</v>
      </c>
      <c r="C191" s="527"/>
      <c r="D191" s="528"/>
    </row>
    <row r="192" spans="2:4" ht="15.75" hidden="1">
      <c r="B192" s="520" t="s">
        <v>534</v>
      </c>
      <c r="C192" s="527"/>
      <c r="D192" s="528"/>
    </row>
    <row r="193" spans="2:4" ht="15.75" hidden="1">
      <c r="B193" s="520" t="s">
        <v>535</v>
      </c>
      <c r="C193" s="527"/>
      <c r="D193" s="528"/>
    </row>
    <row r="194" spans="2:4" ht="15.75" hidden="1">
      <c r="B194" s="520" t="s">
        <v>539</v>
      </c>
      <c r="C194" s="527"/>
      <c r="D194" s="528"/>
    </row>
    <row r="195" spans="2:4" ht="15.75" hidden="1">
      <c r="B195" s="532" t="s">
        <v>537</v>
      </c>
      <c r="C195" s="533"/>
      <c r="D195" s="534"/>
    </row>
    <row r="196" spans="2:4" ht="15.75" hidden="1">
      <c r="B196" s="551" t="s">
        <v>538</v>
      </c>
      <c r="C196" s="552">
        <f>SUM(C197:C208)</f>
        <v>40.429602590000002</v>
      </c>
      <c r="D196" s="553">
        <f>SUM(D197:D208)</f>
        <v>41</v>
      </c>
    </row>
    <row r="197" spans="2:4" ht="15.75" hidden="1">
      <c r="B197" s="520" t="s">
        <v>526</v>
      </c>
      <c r="C197" s="527">
        <v>0</v>
      </c>
      <c r="D197" s="528"/>
    </row>
    <row r="198" spans="2:4" ht="15.75" hidden="1">
      <c r="B198" s="520" t="s">
        <v>527</v>
      </c>
      <c r="C198" s="527">
        <v>0</v>
      </c>
      <c r="D198" s="528"/>
    </row>
    <row r="199" spans="2:4" ht="15.75" hidden="1">
      <c r="B199" s="520" t="s">
        <v>528</v>
      </c>
      <c r="C199" s="527"/>
      <c r="D199" s="528"/>
    </row>
    <row r="200" spans="2:4" ht="15.75" hidden="1">
      <c r="B200" s="520" t="s">
        <v>529</v>
      </c>
      <c r="C200" s="527"/>
      <c r="D200" s="528"/>
    </row>
    <row r="201" spans="2:4" ht="15.75" hidden="1">
      <c r="B201" s="520" t="s">
        <v>530</v>
      </c>
      <c r="C201" s="527">
        <v>10.758965640000001</v>
      </c>
      <c r="D201" s="528">
        <v>11</v>
      </c>
    </row>
    <row r="202" spans="2:4" ht="15.75" hidden="1">
      <c r="B202" s="520" t="s">
        <v>531</v>
      </c>
      <c r="C202" s="527">
        <v>29.670636949999999</v>
      </c>
      <c r="D202" s="528">
        <v>30</v>
      </c>
    </row>
    <row r="203" spans="2:4" ht="15.75" hidden="1">
      <c r="B203" s="520" t="s">
        <v>532</v>
      </c>
      <c r="C203" s="527"/>
      <c r="D203" s="528"/>
    </row>
    <row r="204" spans="2:4" ht="15.75" hidden="1">
      <c r="B204" s="529" t="s">
        <v>533</v>
      </c>
      <c r="C204" s="527"/>
      <c r="D204" s="528"/>
    </row>
    <row r="205" spans="2:4" ht="15.75" hidden="1">
      <c r="B205" s="520" t="s">
        <v>534</v>
      </c>
      <c r="C205" s="527"/>
      <c r="D205" s="528"/>
    </row>
    <row r="206" spans="2:4" ht="15.75" hidden="1">
      <c r="B206" s="520" t="s">
        <v>535</v>
      </c>
      <c r="C206" s="527"/>
      <c r="D206" s="528"/>
    </row>
    <row r="207" spans="2:4" ht="15.75" hidden="1">
      <c r="B207" s="520" t="s">
        <v>539</v>
      </c>
      <c r="C207" s="527"/>
      <c r="D207" s="528"/>
    </row>
    <row r="208" spans="2:4" ht="15.75" hidden="1">
      <c r="B208" s="532" t="s">
        <v>537</v>
      </c>
      <c r="C208" s="533"/>
      <c r="D208" s="534"/>
    </row>
    <row r="209" spans="1:6" ht="15.75" hidden="1">
      <c r="B209" s="551" t="s">
        <v>546</v>
      </c>
      <c r="C209" s="552">
        <f>C181+C183-C196</f>
        <v>500.11908769999997</v>
      </c>
      <c r="D209" s="553">
        <f>D181+D183-D196</f>
        <v>517.04011589999948</v>
      </c>
    </row>
    <row r="210" spans="1:6" hidden="1">
      <c r="B210" s="554" t="s">
        <v>52</v>
      </c>
      <c r="C210" s="554"/>
      <c r="D210" s="554"/>
    </row>
    <row r="211" spans="1:6" hidden="1"/>
    <row r="212" spans="1:6" hidden="1"/>
    <row r="213" spans="1:6" hidden="1"/>
    <row r="214" spans="1:6" hidden="1"/>
    <row r="215" spans="1:6">
      <c r="A215" s="555"/>
      <c r="B215" s="555"/>
      <c r="C215" s="555"/>
      <c r="D215" s="555"/>
      <c r="E215" s="555"/>
      <c r="F215" s="555"/>
    </row>
    <row r="216" spans="1:6">
      <c r="A216" s="555"/>
      <c r="B216" s="555"/>
      <c r="C216" s="555"/>
      <c r="D216" s="555"/>
      <c r="E216" s="555"/>
      <c r="F216" s="555"/>
    </row>
    <row r="218" spans="1:6" hidden="1"/>
    <row r="219" spans="1:6" ht="15.75" hidden="1">
      <c r="B219" s="829" t="s">
        <v>547</v>
      </c>
      <c r="C219" s="829"/>
      <c r="D219" s="829"/>
    </row>
    <row r="220" spans="1:6" ht="15.75" hidden="1">
      <c r="B220" s="829" t="s">
        <v>521</v>
      </c>
      <c r="C220" s="829"/>
      <c r="D220" s="829"/>
    </row>
    <row r="221" spans="1:6" ht="13.5" hidden="1" thickBot="1">
      <c r="B221" s="506"/>
      <c r="C221" s="507"/>
      <c r="D221" s="506"/>
    </row>
    <row r="222" spans="1:6" hidden="1">
      <c r="B222" s="830"/>
      <c r="C222" s="832" t="s">
        <v>522</v>
      </c>
      <c r="D222" s="834" t="s">
        <v>523</v>
      </c>
    </row>
    <row r="223" spans="1:6" hidden="1">
      <c r="B223" s="831"/>
      <c r="C223" s="833"/>
      <c r="D223" s="835"/>
    </row>
    <row r="224" spans="1:6" ht="15.75" hidden="1">
      <c r="B224" s="551" t="s">
        <v>548</v>
      </c>
      <c r="C224" s="552">
        <v>189.11910408832455</v>
      </c>
      <c r="D224" s="553">
        <v>190.93261644000086</v>
      </c>
    </row>
    <row r="225" spans="2:4" ht="15.75" hidden="1">
      <c r="B225" s="548">
        <v>2011</v>
      </c>
      <c r="C225" s="549"/>
      <c r="D225" s="550"/>
    </row>
    <row r="226" spans="2:4" ht="15.75" hidden="1">
      <c r="B226" s="551" t="s">
        <v>525</v>
      </c>
      <c r="C226" s="552">
        <f>SUM(C227:C238)</f>
        <v>774.20341596000003</v>
      </c>
      <c r="D226" s="553">
        <f>SUM(D227:D238)</f>
        <v>786.4620000000001</v>
      </c>
    </row>
    <row r="227" spans="2:4" ht="15.75" hidden="1">
      <c r="B227" s="520" t="s">
        <v>526</v>
      </c>
      <c r="C227" s="527">
        <v>0</v>
      </c>
      <c r="D227" s="528">
        <v>0</v>
      </c>
    </row>
    <row r="228" spans="2:4" ht="15.75" hidden="1">
      <c r="B228" s="520" t="s">
        <v>527</v>
      </c>
      <c r="C228" s="527">
        <v>46.805379420000001</v>
      </c>
      <c r="D228" s="528">
        <v>47</v>
      </c>
    </row>
    <row r="229" spans="2:4" ht="15.75" hidden="1">
      <c r="B229" s="520" t="s">
        <v>528</v>
      </c>
      <c r="C229" s="527">
        <v>145.49425152000001</v>
      </c>
      <c r="D229" s="528">
        <v>147.858</v>
      </c>
    </row>
    <row r="230" spans="2:4" ht="15.75" hidden="1">
      <c r="B230" s="520" t="s">
        <v>529</v>
      </c>
      <c r="C230" s="527">
        <v>50.71069688</v>
      </c>
      <c r="D230" s="528">
        <v>51.55</v>
      </c>
    </row>
    <row r="231" spans="2:4" ht="15.75" hidden="1">
      <c r="B231" s="520" t="s">
        <v>530</v>
      </c>
      <c r="C231" s="527">
        <v>23.697103379999998</v>
      </c>
      <c r="D231" s="528">
        <v>24.26</v>
      </c>
    </row>
    <row r="232" spans="2:4" ht="15.75" hidden="1">
      <c r="B232" s="520" t="s">
        <v>531</v>
      </c>
      <c r="C232" s="527">
        <v>47.9777469</v>
      </c>
      <c r="D232" s="528">
        <v>48.722999999999999</v>
      </c>
    </row>
    <row r="233" spans="2:4" ht="15.75" hidden="1">
      <c r="B233" s="520" t="s">
        <v>532</v>
      </c>
      <c r="C233" s="527">
        <v>128.16083236</v>
      </c>
      <c r="D233" s="528">
        <v>129.91300000000001</v>
      </c>
    </row>
    <row r="234" spans="2:4" ht="15.75" hidden="1">
      <c r="B234" s="529" t="s">
        <v>533</v>
      </c>
      <c r="C234" s="527">
        <v>96.187819479999987</v>
      </c>
      <c r="D234" s="528">
        <v>97.79</v>
      </c>
    </row>
    <row r="235" spans="2:4" ht="15.75" hidden="1">
      <c r="B235" s="520" t="s">
        <v>534</v>
      </c>
      <c r="C235" s="527">
        <v>75.549834610000005</v>
      </c>
      <c r="D235" s="528">
        <v>76.658000000000001</v>
      </c>
    </row>
    <row r="236" spans="2:4" ht="15.75" hidden="1">
      <c r="B236" s="520" t="s">
        <v>535</v>
      </c>
      <c r="C236" s="527">
        <v>35.105792139999998</v>
      </c>
      <c r="D236" s="528">
        <v>35.844999999999999</v>
      </c>
    </row>
    <row r="237" spans="2:4" ht="15.75" hidden="1">
      <c r="B237" s="520" t="s">
        <v>539</v>
      </c>
      <c r="C237" s="527">
        <v>38.101501069999998</v>
      </c>
      <c r="D237" s="528">
        <v>39.082999999999998</v>
      </c>
    </row>
    <row r="238" spans="2:4" ht="15.75" hidden="1">
      <c r="B238" s="532" t="s">
        <v>537</v>
      </c>
      <c r="C238" s="533">
        <v>86.412458200000003</v>
      </c>
      <c r="D238" s="534">
        <v>87.781999999999996</v>
      </c>
    </row>
    <row r="239" spans="2:4" ht="15.75" hidden="1">
      <c r="B239" s="551" t="s">
        <v>538</v>
      </c>
      <c r="C239" s="552">
        <f>SUM(C240:C251)</f>
        <v>404.06134162999996</v>
      </c>
      <c r="D239" s="553">
        <f>SUM(D240:D251)</f>
        <v>407.69099999999992</v>
      </c>
    </row>
    <row r="240" spans="2:4" ht="15.75" hidden="1">
      <c r="B240" s="520" t="s">
        <v>526</v>
      </c>
      <c r="C240" s="527">
        <v>0</v>
      </c>
      <c r="D240" s="528">
        <v>0</v>
      </c>
    </row>
    <row r="241" spans="2:4" ht="15.75" hidden="1">
      <c r="B241" s="520" t="s">
        <v>527</v>
      </c>
      <c r="C241" s="527">
        <v>0</v>
      </c>
      <c r="D241" s="528">
        <v>0</v>
      </c>
    </row>
    <row r="242" spans="2:4" ht="15.75" hidden="1">
      <c r="B242" s="520" t="s">
        <v>528</v>
      </c>
      <c r="C242" s="527">
        <v>119.44500056</v>
      </c>
      <c r="D242" s="528">
        <v>120.477</v>
      </c>
    </row>
    <row r="243" spans="2:4" ht="15.75" hidden="1">
      <c r="B243" s="520" t="s">
        <v>529</v>
      </c>
      <c r="C243" s="527">
        <v>0</v>
      </c>
      <c r="D243" s="528">
        <v>0</v>
      </c>
    </row>
    <row r="244" spans="2:4" ht="15.75" hidden="1">
      <c r="B244" s="520" t="s">
        <v>530</v>
      </c>
      <c r="C244" s="527">
        <v>29.932680730000001</v>
      </c>
      <c r="D244" s="528">
        <v>30</v>
      </c>
    </row>
    <row r="245" spans="2:4" ht="15.75" hidden="1">
      <c r="B245" s="520" t="s">
        <v>531</v>
      </c>
      <c r="C245" s="527">
        <v>44.028433149999998</v>
      </c>
      <c r="D245" s="528">
        <v>44.642000000000003</v>
      </c>
    </row>
    <row r="246" spans="2:4" ht="15.75" hidden="1">
      <c r="B246" s="520" t="s">
        <v>532</v>
      </c>
      <c r="C246" s="527">
        <v>0</v>
      </c>
      <c r="D246" s="528">
        <v>0</v>
      </c>
    </row>
    <row r="247" spans="2:4" ht="15.75" hidden="1">
      <c r="B247" s="529" t="s">
        <v>533</v>
      </c>
      <c r="C247" s="527">
        <v>79.102578210000004</v>
      </c>
      <c r="D247" s="528">
        <v>79.722999999999999</v>
      </c>
    </row>
    <row r="248" spans="2:4" ht="15.75" hidden="1">
      <c r="B248" s="520" t="s">
        <v>534</v>
      </c>
      <c r="C248" s="527">
        <v>27.893435190000002</v>
      </c>
      <c r="D248" s="528">
        <v>28.114000000000001</v>
      </c>
    </row>
    <row r="249" spans="2:4" ht="15.75" hidden="1">
      <c r="B249" s="520" t="s">
        <v>535</v>
      </c>
      <c r="C249" s="527">
        <v>0</v>
      </c>
      <c r="D249" s="528">
        <v>0</v>
      </c>
    </row>
    <row r="250" spans="2:4" ht="15.75" hidden="1">
      <c r="B250" s="520" t="s">
        <v>539</v>
      </c>
      <c r="C250" s="527">
        <v>55.549503369999996</v>
      </c>
      <c r="D250" s="528">
        <v>56.335000000000001</v>
      </c>
    </row>
    <row r="251" spans="2:4" ht="15.75" hidden="1">
      <c r="B251" s="532" t="s">
        <v>537</v>
      </c>
      <c r="C251" s="533">
        <v>48.109710419999999</v>
      </c>
      <c r="D251" s="534">
        <v>48.4</v>
      </c>
    </row>
    <row r="252" spans="2:4" ht="15.75" hidden="1">
      <c r="B252" s="551" t="s">
        <v>549</v>
      </c>
      <c r="C252" s="552">
        <f>C224+C226-C239</f>
        <v>559.26117841832456</v>
      </c>
      <c r="D252" s="553">
        <f>D224+D226-D239</f>
        <v>569.70361644000104</v>
      </c>
    </row>
    <row r="253" spans="2:4" ht="15.75" hidden="1">
      <c r="B253" s="556">
        <v>2012</v>
      </c>
      <c r="C253" s="557"/>
      <c r="D253" s="558"/>
    </row>
    <row r="254" spans="2:4" ht="15.75" hidden="1">
      <c r="B254" s="551" t="s">
        <v>525</v>
      </c>
      <c r="C254" s="552">
        <f>SUM(C255:C266)</f>
        <v>1125.29136139</v>
      </c>
      <c r="D254" s="552">
        <f>SUM(D255:D266)</f>
        <v>1159.4678000500001</v>
      </c>
    </row>
    <row r="255" spans="2:4" ht="15.75" hidden="1">
      <c r="B255" s="520" t="s">
        <v>526</v>
      </c>
      <c r="C255" s="559">
        <v>1.9474855200000001</v>
      </c>
      <c r="D255" s="560">
        <v>2</v>
      </c>
    </row>
    <row r="256" spans="2:4" ht="15.75" hidden="1">
      <c r="B256" s="520" t="s">
        <v>527</v>
      </c>
      <c r="C256" s="561">
        <v>70.40074353</v>
      </c>
      <c r="D256" s="562">
        <v>71.734999999999999</v>
      </c>
    </row>
    <row r="257" spans="2:4" ht="15.75" hidden="1">
      <c r="B257" s="520" t="s">
        <v>528</v>
      </c>
      <c r="C257" s="561">
        <v>176.40373500000001</v>
      </c>
      <c r="D257" s="562">
        <v>179.32000005</v>
      </c>
    </row>
    <row r="258" spans="2:4" ht="15.75" hidden="1">
      <c r="B258" s="520" t="s">
        <v>529</v>
      </c>
      <c r="C258" s="563">
        <v>40.496562730000001</v>
      </c>
      <c r="D258" s="564">
        <v>41.423000000000002</v>
      </c>
    </row>
    <row r="259" spans="2:4" ht="15.75" hidden="1">
      <c r="B259" s="520" t="s">
        <v>530</v>
      </c>
      <c r="C259" s="563">
        <v>96.239089919999998</v>
      </c>
      <c r="D259" s="564">
        <v>98.575999999999993</v>
      </c>
    </row>
    <row r="260" spans="2:4" ht="15.75" hidden="1">
      <c r="B260" s="520" t="s">
        <v>531</v>
      </c>
      <c r="C260" s="563">
        <v>88.893176220000001</v>
      </c>
      <c r="D260" s="564">
        <v>91.502099999999999</v>
      </c>
    </row>
    <row r="261" spans="2:4" ht="15.75" hidden="1">
      <c r="B261" s="520" t="s">
        <v>532</v>
      </c>
      <c r="C261" s="563">
        <v>127.60717176999999</v>
      </c>
      <c r="D261" s="564">
        <v>131.75800000000001</v>
      </c>
    </row>
    <row r="262" spans="2:4" ht="15.75" hidden="1">
      <c r="B262" s="520" t="s">
        <v>533</v>
      </c>
      <c r="C262" s="563">
        <v>97.430937299999997</v>
      </c>
      <c r="D262" s="564">
        <v>100.455</v>
      </c>
    </row>
    <row r="263" spans="2:4" ht="15.75" hidden="1">
      <c r="B263" s="520" t="s">
        <v>534</v>
      </c>
      <c r="C263" s="563">
        <v>90.404175850000001</v>
      </c>
      <c r="D263" s="564">
        <v>93.885300000000001</v>
      </c>
    </row>
    <row r="264" spans="2:4" ht="15.75" hidden="1">
      <c r="B264" s="520" t="s">
        <v>535</v>
      </c>
      <c r="C264" s="563">
        <v>123.56501844</v>
      </c>
      <c r="D264" s="564">
        <v>128.66239999999999</v>
      </c>
    </row>
    <row r="265" spans="2:4" ht="15.75" hidden="1">
      <c r="B265" s="520" t="s">
        <v>536</v>
      </c>
      <c r="C265" s="563">
        <v>104.27649718000001</v>
      </c>
      <c r="D265" s="564">
        <v>108.26</v>
      </c>
    </row>
    <row r="266" spans="2:4" ht="15.75" hidden="1">
      <c r="B266" s="520" t="s">
        <v>537</v>
      </c>
      <c r="C266" s="563">
        <v>107.62676793</v>
      </c>
      <c r="D266" s="564">
        <v>111.89100000000001</v>
      </c>
    </row>
    <row r="267" spans="2:4" ht="15.75" hidden="1">
      <c r="B267" s="551" t="s">
        <v>538</v>
      </c>
      <c r="C267" s="552">
        <f>SUM(C268:C279)</f>
        <v>848.6034153899999</v>
      </c>
      <c r="D267" s="553">
        <f>SUM(D268:D279)</f>
        <v>862.39410000000009</v>
      </c>
    </row>
    <row r="268" spans="2:4" ht="15.75" hidden="1">
      <c r="B268" s="520" t="s">
        <v>526</v>
      </c>
      <c r="C268" s="565">
        <v>0</v>
      </c>
      <c r="D268" s="566">
        <v>0</v>
      </c>
    </row>
    <row r="269" spans="2:4" ht="15.75" hidden="1">
      <c r="B269" s="520" t="s">
        <v>527</v>
      </c>
      <c r="C269" s="565">
        <v>65.946771420000005</v>
      </c>
      <c r="D269" s="566">
        <v>67.384</v>
      </c>
    </row>
    <row r="270" spans="2:4" ht="15.75" hidden="1">
      <c r="B270" s="520" t="s">
        <v>528</v>
      </c>
      <c r="C270" s="565">
        <v>44.113297859999996</v>
      </c>
      <c r="D270" s="566">
        <v>44.325000000000003</v>
      </c>
    </row>
    <row r="271" spans="2:4" ht="15.75" hidden="1">
      <c r="B271" s="520" t="s">
        <v>529</v>
      </c>
      <c r="C271" s="565">
        <v>111.37482808999999</v>
      </c>
      <c r="D271" s="566">
        <v>113.148</v>
      </c>
    </row>
    <row r="272" spans="2:4" ht="15.75" hidden="1">
      <c r="B272" s="520" t="s">
        <v>530</v>
      </c>
      <c r="C272" s="565">
        <v>105.69041473999999</v>
      </c>
      <c r="D272" s="566">
        <v>106.79300000000001</v>
      </c>
    </row>
    <row r="273" spans="2:4" ht="15.75" hidden="1">
      <c r="B273" s="520" t="s">
        <v>531</v>
      </c>
      <c r="C273" s="565">
        <v>49.525505259999996</v>
      </c>
      <c r="D273" s="566">
        <v>49.85</v>
      </c>
    </row>
    <row r="274" spans="2:4" ht="15.75" hidden="1">
      <c r="B274" s="520" t="s">
        <v>532</v>
      </c>
      <c r="C274" s="565">
        <v>80.051121940000002</v>
      </c>
      <c r="D274" s="566">
        <v>81.513000000000005</v>
      </c>
    </row>
    <row r="275" spans="2:4" ht="15.75" hidden="1">
      <c r="B275" s="529" t="s">
        <v>533</v>
      </c>
      <c r="C275" s="567">
        <v>93.754616940000005</v>
      </c>
      <c r="D275" s="568">
        <v>95.52</v>
      </c>
    </row>
    <row r="276" spans="2:4" ht="15.75" hidden="1">
      <c r="B276" s="520" t="s">
        <v>534</v>
      </c>
      <c r="C276" s="565">
        <v>78.063846010000006</v>
      </c>
      <c r="D276" s="566">
        <v>78.963099999999997</v>
      </c>
    </row>
    <row r="277" spans="2:4" ht="15.75" hidden="1">
      <c r="B277" s="520" t="s">
        <v>535</v>
      </c>
      <c r="C277" s="565">
        <v>98.826759949999996</v>
      </c>
      <c r="D277" s="566">
        <v>101.048</v>
      </c>
    </row>
    <row r="278" spans="2:4" ht="15.75" hidden="1">
      <c r="B278" s="520" t="s">
        <v>539</v>
      </c>
      <c r="C278" s="565">
        <v>72.505310809999997</v>
      </c>
      <c r="D278" s="566">
        <v>74.382000000000005</v>
      </c>
    </row>
    <row r="279" spans="2:4" ht="15.75" hidden="1">
      <c r="B279" s="532" t="s">
        <v>537</v>
      </c>
      <c r="C279" s="569">
        <v>48.750942369999997</v>
      </c>
      <c r="D279" s="570">
        <v>49.468000000000004</v>
      </c>
    </row>
    <row r="280" spans="2:4" ht="15.75" hidden="1">
      <c r="B280" s="551" t="s">
        <v>550</v>
      </c>
      <c r="C280" s="552">
        <f>C252+C254-C267</f>
        <v>835.94912441832469</v>
      </c>
      <c r="D280" s="553">
        <f>D252+D254-D267</f>
        <v>866.777316490001</v>
      </c>
    </row>
    <row r="281" spans="2:4" ht="15.75" hidden="1">
      <c r="B281" s="556">
        <v>2013</v>
      </c>
      <c r="C281" s="557"/>
      <c r="D281" s="558"/>
    </row>
    <row r="282" spans="2:4" ht="15.75" hidden="1">
      <c r="B282" s="551" t="s">
        <v>525</v>
      </c>
      <c r="C282" s="552">
        <f>SUM(C283:C294)</f>
        <v>684.77169505000006</v>
      </c>
      <c r="D282" s="552">
        <f>SUM(D283:D294)</f>
        <v>707.04699999999991</v>
      </c>
    </row>
    <row r="283" spans="2:4" ht="15.75" hidden="1">
      <c r="B283" s="520" t="s">
        <v>526</v>
      </c>
      <c r="C283" s="559">
        <v>95.969317700000005</v>
      </c>
      <c r="D283" s="560">
        <v>98.284999999999997</v>
      </c>
    </row>
    <row r="284" spans="2:4" ht="15.75" hidden="1">
      <c r="B284" s="520" t="s">
        <v>527</v>
      </c>
      <c r="C284" s="561">
        <v>76.434509140000003</v>
      </c>
      <c r="D284" s="562">
        <v>79.099999999999994</v>
      </c>
    </row>
    <row r="285" spans="2:4" ht="15.75" hidden="1">
      <c r="B285" s="520" t="s">
        <v>528</v>
      </c>
      <c r="C285" s="561">
        <v>59.114612340000001</v>
      </c>
      <c r="D285" s="562">
        <v>61.316000000000003</v>
      </c>
    </row>
    <row r="286" spans="2:4" ht="15.75" hidden="1">
      <c r="B286" s="520" t="s">
        <v>529</v>
      </c>
      <c r="C286" s="563">
        <v>13.89657096</v>
      </c>
      <c r="D286" s="564">
        <v>14.427</v>
      </c>
    </row>
    <row r="287" spans="2:4" ht="15.75" hidden="1">
      <c r="B287" s="520" t="s">
        <v>530</v>
      </c>
      <c r="C287" s="563"/>
      <c r="D287" s="564"/>
    </row>
    <row r="288" spans="2:4" ht="15.75" hidden="1">
      <c r="B288" s="520" t="s">
        <v>531</v>
      </c>
      <c r="C288" s="563">
        <v>70.390008570000006</v>
      </c>
      <c r="D288" s="564">
        <v>72.581999999999994</v>
      </c>
    </row>
    <row r="289" spans="2:4" ht="15.75" hidden="1">
      <c r="B289" s="520" t="s">
        <v>532</v>
      </c>
      <c r="C289" s="563">
        <v>100.45416918000001</v>
      </c>
      <c r="D289" s="564">
        <v>104.032</v>
      </c>
    </row>
    <row r="290" spans="2:4" ht="15.75" hidden="1">
      <c r="B290" s="520" t="s">
        <v>533</v>
      </c>
      <c r="C290" s="563">
        <v>38.639433390000001</v>
      </c>
      <c r="D290" s="564">
        <v>39.5</v>
      </c>
    </row>
    <row r="291" spans="2:4" ht="15.75" hidden="1">
      <c r="B291" s="520" t="s">
        <v>534</v>
      </c>
      <c r="C291" s="563">
        <v>49.808140649999999</v>
      </c>
      <c r="D291" s="564">
        <v>51.59</v>
      </c>
    </row>
    <row r="292" spans="2:4" ht="15.75" hidden="1">
      <c r="B292" s="520" t="s">
        <v>535</v>
      </c>
      <c r="C292" s="563">
        <v>46.406351000000001</v>
      </c>
      <c r="D292" s="564">
        <v>47.774999999999999</v>
      </c>
    </row>
    <row r="293" spans="2:4" ht="15.75" hidden="1">
      <c r="B293" s="520" t="s">
        <v>536</v>
      </c>
      <c r="C293" s="563">
        <v>60.30410457</v>
      </c>
      <c r="D293" s="564">
        <v>62.67</v>
      </c>
    </row>
    <row r="294" spans="2:4" ht="15.75" hidden="1">
      <c r="B294" s="520" t="s">
        <v>537</v>
      </c>
      <c r="C294" s="563">
        <v>73.354477549999999</v>
      </c>
      <c r="D294" s="564">
        <v>75.77</v>
      </c>
    </row>
    <row r="295" spans="2:4" ht="15.75" hidden="1">
      <c r="B295" s="551" t="s">
        <v>538</v>
      </c>
      <c r="C295" s="552">
        <f>SUM(C296:C307)</f>
        <v>913.30975488000001</v>
      </c>
      <c r="D295" s="553">
        <f>SUM(D296:D307)</f>
        <v>945.56170000000009</v>
      </c>
    </row>
    <row r="296" spans="2:4" ht="15.75" hidden="1">
      <c r="B296" s="520" t="s">
        <v>526</v>
      </c>
      <c r="C296" s="565">
        <v>392.56246456999997</v>
      </c>
      <c r="D296" s="566">
        <v>404.52190000000002</v>
      </c>
    </row>
    <row r="297" spans="2:4" ht="15.75" hidden="1">
      <c r="B297" s="520" t="s">
        <v>527</v>
      </c>
      <c r="C297" s="565"/>
      <c r="D297" s="566"/>
    </row>
    <row r="298" spans="2:4" ht="15.75" hidden="1">
      <c r="B298" s="520" t="s">
        <v>528</v>
      </c>
      <c r="C298" s="565"/>
      <c r="D298" s="566"/>
    </row>
    <row r="299" spans="2:4" ht="15.75" hidden="1">
      <c r="B299" s="520" t="s">
        <v>529</v>
      </c>
      <c r="C299" s="565"/>
      <c r="D299" s="566"/>
    </row>
    <row r="300" spans="2:4" ht="15.75" hidden="1">
      <c r="B300" s="520" t="s">
        <v>530</v>
      </c>
      <c r="C300" s="565">
        <v>85.221423129999991</v>
      </c>
      <c r="D300" s="566">
        <v>88.161799999999999</v>
      </c>
    </row>
    <row r="301" spans="2:4" ht="15.75" hidden="1">
      <c r="B301" s="520" t="s">
        <v>531</v>
      </c>
      <c r="C301" s="565">
        <v>74.877193059999996</v>
      </c>
      <c r="D301" s="566">
        <v>77.522999999999996</v>
      </c>
    </row>
    <row r="302" spans="2:4" ht="15.75" hidden="1">
      <c r="B302" s="520" t="s">
        <v>532</v>
      </c>
      <c r="C302" s="565">
        <v>194.58073886000003</v>
      </c>
      <c r="D302" s="566">
        <v>201.64410000000001</v>
      </c>
    </row>
    <row r="303" spans="2:4" ht="15.75" hidden="1">
      <c r="B303" s="529" t="s">
        <v>533</v>
      </c>
      <c r="C303" s="567"/>
      <c r="D303" s="568"/>
    </row>
    <row r="304" spans="2:4" ht="15.75" hidden="1">
      <c r="B304" s="520" t="s">
        <v>534</v>
      </c>
      <c r="C304" s="565">
        <v>25.583887069999999</v>
      </c>
      <c r="D304" s="568">
        <v>26.801200000000001</v>
      </c>
    </row>
    <row r="305" spans="2:5" ht="15.75" hidden="1">
      <c r="B305" s="520" t="s">
        <v>535</v>
      </c>
      <c r="C305" s="565">
        <v>57.034431009999999</v>
      </c>
      <c r="D305" s="566">
        <v>59.180999999999997</v>
      </c>
    </row>
    <row r="306" spans="2:5" ht="15.75" hidden="1">
      <c r="B306" s="520" t="s">
        <v>539</v>
      </c>
      <c r="C306" s="565">
        <v>62.369072439999997</v>
      </c>
      <c r="D306" s="566">
        <v>65.53</v>
      </c>
    </row>
    <row r="307" spans="2:5" ht="15.75" hidden="1">
      <c r="B307" s="532" t="s">
        <v>537</v>
      </c>
      <c r="C307" s="569">
        <v>21.080544740000001</v>
      </c>
      <c r="D307" s="570">
        <v>22.198699999999999</v>
      </c>
    </row>
    <row r="308" spans="2:5" ht="15.75" hidden="1">
      <c r="B308" s="551" t="s">
        <v>544</v>
      </c>
      <c r="C308" s="552">
        <f>C280+C282-C295</f>
        <v>607.41106458832485</v>
      </c>
      <c r="D308" s="553">
        <f>D280+D282-D295</f>
        <v>628.26261649000082</v>
      </c>
    </row>
    <row r="309" spans="2:5" ht="15.75" hidden="1">
      <c r="B309" s="571">
        <v>2014</v>
      </c>
      <c r="C309" s="572"/>
      <c r="D309" s="573"/>
      <c r="E309" s="574"/>
    </row>
    <row r="310" spans="2:5" ht="15.75" hidden="1">
      <c r="B310" s="551" t="s">
        <v>525</v>
      </c>
      <c r="C310" s="552">
        <f>SUM(C311:C322)</f>
        <v>1147.4723124299999</v>
      </c>
      <c r="D310" s="553">
        <f>SUM(D311:D322)</f>
        <v>1190.0784999999996</v>
      </c>
      <c r="E310" s="574"/>
    </row>
    <row r="311" spans="2:5" ht="15.75" hidden="1">
      <c r="B311" s="575" t="s">
        <v>526</v>
      </c>
      <c r="C311" s="565">
        <v>139.78455328999999</v>
      </c>
      <c r="D311" s="566">
        <v>143.86449999999999</v>
      </c>
      <c r="E311" s="574"/>
    </row>
    <row r="312" spans="2:5" ht="15.75" hidden="1">
      <c r="B312" s="575" t="s">
        <v>527</v>
      </c>
      <c r="C312" s="565">
        <v>95.400987450000002</v>
      </c>
      <c r="D312" s="566">
        <v>98.265000000000001</v>
      </c>
      <c r="E312" s="574"/>
    </row>
    <row r="313" spans="2:5" ht="15.75" hidden="1">
      <c r="B313" s="575" t="s">
        <v>528</v>
      </c>
      <c r="C313" s="565">
        <v>124.76651099</v>
      </c>
      <c r="D313" s="566">
        <v>129.22200000000001</v>
      </c>
      <c r="E313" s="574"/>
    </row>
    <row r="314" spans="2:5" ht="15.75" hidden="1">
      <c r="B314" s="575" t="s">
        <v>529</v>
      </c>
      <c r="C314" s="565">
        <v>42.036577250000001</v>
      </c>
      <c r="D314" s="566">
        <v>44.21</v>
      </c>
      <c r="E314" s="574"/>
    </row>
    <row r="315" spans="2:5" ht="15.75" hidden="1">
      <c r="B315" s="575" t="s">
        <v>530</v>
      </c>
      <c r="C315" s="565">
        <v>56.13831485</v>
      </c>
      <c r="D315" s="566">
        <v>58.45</v>
      </c>
      <c r="E315" s="574"/>
    </row>
    <row r="316" spans="2:5" ht="15.75" hidden="1">
      <c r="B316" s="575" t="s">
        <v>531</v>
      </c>
      <c r="C316" s="565">
        <v>115.33684443999999</v>
      </c>
      <c r="D316" s="566">
        <v>120.39</v>
      </c>
      <c r="E316" s="574"/>
    </row>
    <row r="317" spans="2:5" ht="15.75" hidden="1">
      <c r="B317" s="575" t="s">
        <v>532</v>
      </c>
      <c r="C317" s="565">
        <v>178.80991864999999</v>
      </c>
      <c r="D317" s="566">
        <v>186.374</v>
      </c>
      <c r="E317" s="574"/>
    </row>
    <row r="318" spans="2:5" ht="15.75" hidden="1">
      <c r="B318" s="576" t="s">
        <v>533</v>
      </c>
      <c r="C318" s="565">
        <v>93.698032760000004</v>
      </c>
      <c r="D318" s="566">
        <v>97.56</v>
      </c>
      <c r="E318" s="574"/>
    </row>
    <row r="319" spans="2:5" ht="15.75" hidden="1">
      <c r="B319" s="575" t="s">
        <v>534</v>
      </c>
      <c r="C319" s="565">
        <v>138.89420229999999</v>
      </c>
      <c r="D319" s="566">
        <v>144.16999999999999</v>
      </c>
      <c r="E319" s="574"/>
    </row>
    <row r="320" spans="2:5" ht="15.75" hidden="1">
      <c r="B320" s="575" t="s">
        <v>535</v>
      </c>
      <c r="C320" s="565">
        <v>59.92201764</v>
      </c>
      <c r="D320" s="566">
        <v>61.7</v>
      </c>
      <c r="E320" s="574"/>
    </row>
    <row r="321" spans="2:5" ht="15.75" hidden="1">
      <c r="B321" s="575" t="s">
        <v>539</v>
      </c>
      <c r="C321" s="565">
        <v>57.442991939999999</v>
      </c>
      <c r="D321" s="566">
        <v>59.273000000000003</v>
      </c>
      <c r="E321" s="574"/>
    </row>
    <row r="322" spans="2:5" ht="15.75" hidden="1">
      <c r="B322" s="577" t="s">
        <v>537</v>
      </c>
      <c r="C322" s="569">
        <v>45.241360869999994</v>
      </c>
      <c r="D322" s="570">
        <v>46.6</v>
      </c>
      <c r="E322" s="574"/>
    </row>
    <row r="323" spans="2:5" ht="15.75" hidden="1">
      <c r="B323" s="551" t="s">
        <v>538</v>
      </c>
      <c r="C323" s="552">
        <f>SUM(C324:C335)</f>
        <v>1437.76001651</v>
      </c>
      <c r="D323" s="553">
        <f>SUM(D324:D335)</f>
        <v>1489.9800004900001</v>
      </c>
      <c r="E323" s="574"/>
    </row>
    <row r="324" spans="2:5" ht="15.75" hidden="1">
      <c r="B324" s="575" t="s">
        <v>526</v>
      </c>
      <c r="C324" s="565">
        <v>69.727102410000001</v>
      </c>
      <c r="D324" s="566">
        <v>72.3</v>
      </c>
      <c r="E324" s="574"/>
    </row>
    <row r="325" spans="2:5" ht="15.75" hidden="1">
      <c r="B325" s="575" t="s">
        <v>527</v>
      </c>
      <c r="C325" s="565">
        <v>77.054494059999996</v>
      </c>
      <c r="D325" s="566">
        <v>79.411000000000001</v>
      </c>
      <c r="E325" s="574"/>
    </row>
    <row r="326" spans="2:5" ht="15.75" hidden="1">
      <c r="B326" s="575" t="s">
        <v>528</v>
      </c>
      <c r="C326" s="565">
        <v>62.183959700000003</v>
      </c>
      <c r="D326" s="566">
        <v>63.9465</v>
      </c>
      <c r="E326" s="574"/>
    </row>
    <row r="327" spans="2:5" ht="15.75" hidden="1">
      <c r="B327" s="575" t="s">
        <v>529</v>
      </c>
      <c r="C327" s="565">
        <v>78.959200420000002</v>
      </c>
      <c r="D327" s="566">
        <v>80.805000000000007</v>
      </c>
      <c r="E327" s="574"/>
    </row>
    <row r="328" spans="2:5" ht="15.75" hidden="1">
      <c r="B328" s="575" t="s">
        <v>530</v>
      </c>
      <c r="C328" s="565">
        <v>121.78660786</v>
      </c>
      <c r="D328" s="566">
        <v>124.36</v>
      </c>
      <c r="E328" s="574"/>
    </row>
    <row r="329" spans="2:5" ht="15.75" hidden="1">
      <c r="B329" s="575" t="s">
        <v>531</v>
      </c>
      <c r="C329" s="565">
        <v>60.57154568</v>
      </c>
      <c r="D329" s="566">
        <v>62.003999999999998</v>
      </c>
      <c r="E329" s="574"/>
    </row>
    <row r="330" spans="2:5" ht="15.75" hidden="1">
      <c r="B330" s="575" t="s">
        <v>532</v>
      </c>
      <c r="C330" s="565">
        <v>85.020041550000002</v>
      </c>
      <c r="D330" s="566">
        <v>88.182000000000002</v>
      </c>
      <c r="E330" s="574"/>
    </row>
    <row r="331" spans="2:5" ht="15.75" hidden="1">
      <c r="B331" s="576" t="s">
        <v>533</v>
      </c>
      <c r="C331" s="565">
        <v>60.228518860000001</v>
      </c>
      <c r="D331" s="566">
        <v>61.755000000000003</v>
      </c>
      <c r="E331" s="574"/>
    </row>
    <row r="332" spans="2:5" ht="15.75" hidden="1">
      <c r="B332" s="575" t="s">
        <v>534</v>
      </c>
      <c r="C332" s="565">
        <v>822.22854597000003</v>
      </c>
      <c r="D332" s="566">
        <v>857.21650049000004</v>
      </c>
      <c r="E332" s="574"/>
    </row>
    <row r="333" spans="2:5" ht="15.75" hidden="1">
      <c r="B333" s="575" t="s">
        <v>535</v>
      </c>
      <c r="C333" s="565">
        <v>0</v>
      </c>
      <c r="D333" s="566"/>
      <c r="E333" s="574"/>
    </row>
    <row r="334" spans="2:5" ht="15.75" hidden="1">
      <c r="B334" s="575" t="s">
        <v>539</v>
      </c>
      <c r="C334" s="565">
        <v>0</v>
      </c>
      <c r="D334" s="566"/>
      <c r="E334" s="574"/>
    </row>
    <row r="335" spans="2:5" ht="15.75" hidden="1">
      <c r="B335" s="577" t="s">
        <v>537</v>
      </c>
      <c r="C335" s="569"/>
      <c r="D335" s="570"/>
      <c r="E335" s="574"/>
    </row>
    <row r="336" spans="2:5" ht="15.75" hidden="1">
      <c r="B336" s="551" t="s">
        <v>545</v>
      </c>
      <c r="C336" s="552">
        <f>C308+C310-C323</f>
        <v>317.12336050832459</v>
      </c>
      <c r="D336" s="553">
        <f>D308+D310-D323</f>
        <v>328.36111600000027</v>
      </c>
      <c r="E336" s="574"/>
    </row>
    <row r="337" spans="2:5" ht="15.75" hidden="1">
      <c r="B337" s="548">
        <v>2015</v>
      </c>
      <c r="C337" s="549"/>
      <c r="D337" s="550"/>
      <c r="E337" s="574"/>
    </row>
    <row r="338" spans="2:5" ht="15.75" hidden="1">
      <c r="B338" s="551" t="s">
        <v>525</v>
      </c>
      <c r="C338" s="552">
        <f>SUM(C339:C350)</f>
        <v>840.46398367999984</v>
      </c>
      <c r="D338" s="553">
        <f>SUM(D339:D350)</f>
        <v>862.90329999999994</v>
      </c>
      <c r="E338" s="574"/>
    </row>
    <row r="339" spans="2:5" ht="15.75" hidden="1">
      <c r="B339" s="575" t="s">
        <v>526</v>
      </c>
      <c r="C339" s="565">
        <v>42.374853639999998</v>
      </c>
      <c r="D339" s="566">
        <v>43.18</v>
      </c>
      <c r="E339" s="574"/>
    </row>
    <row r="340" spans="2:5" ht="15.75" hidden="1">
      <c r="B340" s="575" t="s">
        <v>527</v>
      </c>
      <c r="C340" s="565">
        <v>75.669691150000006</v>
      </c>
      <c r="D340" s="566">
        <v>77.7</v>
      </c>
      <c r="E340" s="574"/>
    </row>
    <row r="341" spans="2:5" ht="15.75" hidden="1">
      <c r="B341" s="575" t="s">
        <v>528</v>
      </c>
      <c r="C341" s="565">
        <v>34.022963509999997</v>
      </c>
      <c r="D341" s="566">
        <v>35</v>
      </c>
      <c r="E341" s="574"/>
    </row>
    <row r="342" spans="2:5" ht="15.75" hidden="1">
      <c r="B342" s="575" t="s">
        <v>529</v>
      </c>
      <c r="C342" s="565">
        <v>35.018771340000001</v>
      </c>
      <c r="D342" s="566">
        <v>36</v>
      </c>
      <c r="E342" s="574"/>
    </row>
    <row r="343" spans="2:5" ht="15.75" hidden="1">
      <c r="B343" s="575" t="s">
        <v>530</v>
      </c>
      <c r="C343" s="565"/>
      <c r="D343" s="566"/>
      <c r="E343" s="574"/>
    </row>
    <row r="344" spans="2:5" ht="15.75" hidden="1">
      <c r="B344" s="575" t="s">
        <v>531</v>
      </c>
      <c r="C344" s="565">
        <v>36.317401680000003</v>
      </c>
      <c r="D344" s="566">
        <v>37.25</v>
      </c>
      <c r="E344" s="574"/>
    </row>
    <row r="345" spans="2:5" ht="15.75" hidden="1">
      <c r="B345" s="575" t="s">
        <v>532</v>
      </c>
      <c r="C345" s="565">
        <v>137.43866342999999</v>
      </c>
      <c r="D345" s="566">
        <v>141.32</v>
      </c>
      <c r="E345" s="574"/>
    </row>
    <row r="346" spans="2:5" ht="15.75" hidden="1">
      <c r="B346" s="576" t="s">
        <v>533</v>
      </c>
      <c r="C346" s="565">
        <v>62.148855810000001</v>
      </c>
      <c r="D346" s="566">
        <v>63.5</v>
      </c>
      <c r="E346" s="574"/>
    </row>
    <row r="347" spans="2:5" ht="15.75" hidden="1">
      <c r="B347" s="575" t="s">
        <v>534</v>
      </c>
      <c r="C347" s="565">
        <v>147.40738766999999</v>
      </c>
      <c r="D347" s="566">
        <v>151.30000000000001</v>
      </c>
      <c r="E347" s="574"/>
    </row>
    <row r="348" spans="2:5" ht="15.75" hidden="1">
      <c r="B348" s="575" t="s">
        <v>535</v>
      </c>
      <c r="C348" s="565">
        <v>39.009649209999999</v>
      </c>
      <c r="D348" s="566">
        <v>40.1</v>
      </c>
      <c r="E348" s="574"/>
    </row>
    <row r="349" spans="2:5" ht="15.75" hidden="1">
      <c r="B349" s="575" t="s">
        <v>539</v>
      </c>
      <c r="C349" s="565">
        <v>93.266413029999995</v>
      </c>
      <c r="D349" s="566">
        <v>95.753299999999996</v>
      </c>
      <c r="E349" s="574"/>
    </row>
    <row r="350" spans="2:5" ht="15.75" hidden="1">
      <c r="B350" s="577" t="s">
        <v>537</v>
      </c>
      <c r="C350" s="569">
        <v>137.78933321</v>
      </c>
      <c r="D350" s="570">
        <v>141.80000000000001</v>
      </c>
      <c r="E350" s="574"/>
    </row>
    <row r="351" spans="2:5" ht="15.75" hidden="1">
      <c r="B351" s="551" t="s">
        <v>538</v>
      </c>
      <c r="C351" s="552">
        <f>SUM(C352:C363)</f>
        <v>385.18997174999998</v>
      </c>
      <c r="D351" s="553">
        <f>SUM(D352:D363)</f>
        <v>397.36040000000003</v>
      </c>
      <c r="E351" s="574"/>
    </row>
    <row r="352" spans="2:5" ht="15.75" hidden="1">
      <c r="B352" s="575" t="s">
        <v>526</v>
      </c>
      <c r="C352" s="565">
        <v>0</v>
      </c>
      <c r="D352" s="566"/>
      <c r="E352" s="574"/>
    </row>
    <row r="353" spans="2:5" ht="15.75" hidden="1">
      <c r="B353" s="575" t="s">
        <v>527</v>
      </c>
      <c r="C353" s="565">
        <v>0</v>
      </c>
      <c r="D353" s="566"/>
      <c r="E353" s="574"/>
    </row>
    <row r="354" spans="2:5" ht="15.75" hidden="1">
      <c r="B354" s="575" t="s">
        <v>528</v>
      </c>
      <c r="C354" s="565"/>
      <c r="D354" s="566"/>
      <c r="E354" s="574"/>
    </row>
    <row r="355" spans="2:5" ht="15.75" hidden="1">
      <c r="B355" s="575" t="s">
        <v>529</v>
      </c>
      <c r="C355" s="565"/>
      <c r="D355" s="566"/>
      <c r="E355" s="574"/>
    </row>
    <row r="356" spans="2:5" ht="15.75" hidden="1">
      <c r="B356" s="575" t="s">
        <v>530</v>
      </c>
      <c r="C356" s="565">
        <v>10.758965640000001</v>
      </c>
      <c r="D356" s="566">
        <v>11</v>
      </c>
      <c r="E356" s="574"/>
    </row>
    <row r="357" spans="2:5" ht="15.75" hidden="1">
      <c r="B357" s="575" t="s">
        <v>531</v>
      </c>
      <c r="C357" s="565">
        <v>29.670636949999999</v>
      </c>
      <c r="D357" s="566">
        <v>30</v>
      </c>
      <c r="E357" s="574"/>
    </row>
    <row r="358" spans="2:5" ht="15.75" hidden="1">
      <c r="B358" s="575" t="s">
        <v>532</v>
      </c>
      <c r="C358" s="565">
        <v>48.934293629999999</v>
      </c>
      <c r="D358" s="566">
        <v>50.3</v>
      </c>
      <c r="E358" s="574"/>
    </row>
    <row r="359" spans="2:5" ht="15.75" hidden="1">
      <c r="B359" s="576" t="s">
        <v>533</v>
      </c>
      <c r="C359" s="565">
        <v>59.04222815</v>
      </c>
      <c r="D359" s="566">
        <v>61.572400000000002</v>
      </c>
      <c r="E359" s="574"/>
    </row>
    <row r="360" spans="2:5" ht="15.75" hidden="1">
      <c r="B360" s="575" t="s">
        <v>534</v>
      </c>
      <c r="C360" s="565">
        <v>84.719026380000003</v>
      </c>
      <c r="D360" s="566">
        <v>88.215000000000003</v>
      </c>
      <c r="E360" s="574"/>
    </row>
    <row r="361" spans="2:5" ht="15.75" hidden="1">
      <c r="B361" s="575" t="s">
        <v>535</v>
      </c>
      <c r="C361" s="565">
        <v>34.380304029999998</v>
      </c>
      <c r="D361" s="566">
        <v>35.4</v>
      </c>
      <c r="E361" s="574"/>
    </row>
    <row r="362" spans="2:5" ht="15.75" hidden="1">
      <c r="B362" s="575" t="s">
        <v>539</v>
      </c>
      <c r="C362" s="565">
        <v>58.404867490000001</v>
      </c>
      <c r="D362" s="566">
        <v>60.273000000000003</v>
      </c>
      <c r="E362" s="574"/>
    </row>
    <row r="363" spans="2:5" ht="15.75" hidden="1">
      <c r="B363" s="577" t="s">
        <v>537</v>
      </c>
      <c r="C363" s="569">
        <v>59.279649480000003</v>
      </c>
      <c r="D363" s="570">
        <v>60.6</v>
      </c>
      <c r="E363" s="574"/>
    </row>
    <row r="364" spans="2:5" ht="15.75" hidden="1">
      <c r="B364" s="551" t="s">
        <v>551</v>
      </c>
      <c r="C364" s="552">
        <f>C336+C338-C351</f>
        <v>772.39737243832451</v>
      </c>
      <c r="D364" s="553">
        <f>D336+D338-D351</f>
        <v>793.90401600000018</v>
      </c>
      <c r="E364" s="574"/>
    </row>
    <row r="365" spans="2:5" hidden="1">
      <c r="B365" s="554" t="s">
        <v>52</v>
      </c>
      <c r="C365" s="554"/>
      <c r="D365" s="554"/>
      <c r="E365" s="574"/>
    </row>
    <row r="366" spans="2:5" hidden="1">
      <c r="E366" s="574"/>
    </row>
    <row r="367" spans="2:5" hidden="1"/>
    <row r="368" spans="2:5">
      <c r="B368" s="505" t="s">
        <v>552</v>
      </c>
    </row>
    <row r="370" spans="1:6">
      <c r="A370" s="555"/>
      <c r="B370" s="555"/>
      <c r="C370" s="555"/>
      <c r="D370" s="555"/>
      <c r="E370" s="555"/>
      <c r="F370" s="555"/>
    </row>
    <row r="371" spans="1:6">
      <c r="A371" s="555"/>
      <c r="B371" s="555"/>
      <c r="C371" s="555"/>
      <c r="D371" s="555"/>
      <c r="E371" s="555"/>
      <c r="F371" s="555"/>
    </row>
    <row r="375" spans="1:6" ht="15.75">
      <c r="B375" s="578" t="s">
        <v>560</v>
      </c>
    </row>
    <row r="376" spans="1:6" ht="15.75">
      <c r="B376" s="578" t="s">
        <v>521</v>
      </c>
    </row>
    <row r="377" spans="1:6" ht="13.5" thickBot="1">
      <c r="B377" s="506"/>
      <c r="C377" s="507"/>
      <c r="D377" s="506"/>
      <c r="E377" s="507"/>
      <c r="F377" s="506"/>
    </row>
    <row r="378" spans="1:6" ht="20.100000000000001" customHeight="1">
      <c r="B378" s="825"/>
      <c r="C378" s="579" t="s">
        <v>522</v>
      </c>
      <c r="D378" s="579"/>
      <c r="E378" s="580" t="s">
        <v>523</v>
      </c>
      <c r="F378" s="581"/>
    </row>
    <row r="379" spans="1:6" ht="20.100000000000001" customHeight="1">
      <c r="B379" s="826"/>
      <c r="C379" s="582" t="s">
        <v>525</v>
      </c>
      <c r="D379" s="582" t="s">
        <v>538</v>
      </c>
      <c r="E379" s="583" t="s">
        <v>525</v>
      </c>
      <c r="F379" s="584" t="s">
        <v>538</v>
      </c>
    </row>
    <row r="380" spans="1:6" ht="15.75">
      <c r="B380" s="585" t="s">
        <v>553</v>
      </c>
      <c r="C380" s="822">
        <v>317.12659058000003</v>
      </c>
      <c r="D380" s="823"/>
      <c r="E380" s="822">
        <v>328.36040000000003</v>
      </c>
      <c r="F380" s="824"/>
    </row>
    <row r="381" spans="1:6" ht="15.75">
      <c r="B381" s="586"/>
      <c r="C381" s="569"/>
      <c r="D381" s="569"/>
      <c r="E381" s="587"/>
      <c r="F381" s="570"/>
    </row>
    <row r="382" spans="1:6" ht="15.75">
      <c r="B382" s="588" t="s">
        <v>554</v>
      </c>
      <c r="C382" s="552"/>
      <c r="D382" s="552"/>
      <c r="E382" s="589"/>
      <c r="F382" s="553"/>
    </row>
    <row r="383" spans="1:6" ht="15.75">
      <c r="B383" s="590" t="s">
        <v>526</v>
      </c>
      <c r="C383" s="565">
        <v>42.374853639999998</v>
      </c>
      <c r="D383" s="565">
        <v>0</v>
      </c>
      <c r="E383" s="591">
        <v>43.18</v>
      </c>
      <c r="F383" s="566"/>
    </row>
    <row r="384" spans="1:6" ht="15.75">
      <c r="B384" s="590" t="s">
        <v>527</v>
      </c>
      <c r="C384" s="565">
        <v>75.669691150000006</v>
      </c>
      <c r="D384" s="565">
        <v>0</v>
      </c>
      <c r="E384" s="591">
        <v>77.7</v>
      </c>
      <c r="F384" s="566"/>
    </row>
    <row r="385" spans="2:6" ht="15.75">
      <c r="B385" s="590" t="s">
        <v>528</v>
      </c>
      <c r="C385" s="565">
        <v>34.022963509999997</v>
      </c>
      <c r="D385" s="565"/>
      <c r="E385" s="591">
        <v>35</v>
      </c>
      <c r="F385" s="566"/>
    </row>
    <row r="386" spans="2:6" ht="15.75">
      <c r="B386" s="590" t="s">
        <v>529</v>
      </c>
      <c r="C386" s="565">
        <v>35.018771340000001</v>
      </c>
      <c r="D386" s="565"/>
      <c r="E386" s="591">
        <v>36</v>
      </c>
      <c r="F386" s="566"/>
    </row>
    <row r="387" spans="2:6" ht="15.75">
      <c r="B387" s="590" t="s">
        <v>530</v>
      </c>
      <c r="C387" s="565"/>
      <c r="D387" s="565">
        <v>10.758965640000001</v>
      </c>
      <c r="E387" s="591"/>
      <c r="F387" s="566">
        <v>11</v>
      </c>
    </row>
    <row r="388" spans="2:6" ht="15.75">
      <c r="B388" s="590" t="s">
        <v>531</v>
      </c>
      <c r="C388" s="565">
        <v>36.317401680000003</v>
      </c>
      <c r="D388" s="565">
        <v>29.670636949999999</v>
      </c>
      <c r="E388" s="591">
        <v>37.25</v>
      </c>
      <c r="F388" s="566">
        <v>30</v>
      </c>
    </row>
    <row r="389" spans="2:6" ht="15.75">
      <c r="B389" s="590" t="s">
        <v>532</v>
      </c>
      <c r="C389" s="565">
        <v>137.43866342999999</v>
      </c>
      <c r="D389" s="565">
        <v>48.934293629999999</v>
      </c>
      <c r="E389" s="591">
        <v>141.32</v>
      </c>
      <c r="F389" s="566">
        <v>50.3</v>
      </c>
    </row>
    <row r="390" spans="2:6" ht="15.75">
      <c r="B390" s="592" t="s">
        <v>533</v>
      </c>
      <c r="C390" s="565">
        <v>62.148855810000001</v>
      </c>
      <c r="D390" s="565">
        <v>59.04222815</v>
      </c>
      <c r="E390" s="591">
        <v>63.5</v>
      </c>
      <c r="F390" s="566">
        <v>61.572400000000002</v>
      </c>
    </row>
    <row r="391" spans="2:6" ht="15.75">
      <c r="B391" s="590" t="s">
        <v>534</v>
      </c>
      <c r="C391" s="565">
        <v>147.40738766999999</v>
      </c>
      <c r="D391" s="565">
        <v>84.719026380000003</v>
      </c>
      <c r="E391" s="591">
        <v>151.30000000000001</v>
      </c>
      <c r="F391" s="566">
        <v>88.215000000000003</v>
      </c>
    </row>
    <row r="392" spans="2:6" ht="15.75">
      <c r="B392" s="590" t="s">
        <v>535</v>
      </c>
      <c r="C392" s="565">
        <v>39.009649209999999</v>
      </c>
      <c r="D392" s="565">
        <v>34.380304029999998</v>
      </c>
      <c r="E392" s="591">
        <v>40.1</v>
      </c>
      <c r="F392" s="566">
        <v>35.4</v>
      </c>
    </row>
    <row r="393" spans="2:6" ht="15.75">
      <c r="B393" s="590" t="s">
        <v>536</v>
      </c>
      <c r="C393" s="565">
        <v>93.266413029999995</v>
      </c>
      <c r="D393" s="565">
        <v>58.404867490000001</v>
      </c>
      <c r="E393" s="591">
        <v>95.753299999999996</v>
      </c>
      <c r="F393" s="566">
        <v>60.273000000000003</v>
      </c>
    </row>
    <row r="394" spans="2:6" ht="15.75">
      <c r="B394" s="586" t="s">
        <v>537</v>
      </c>
      <c r="C394" s="569">
        <v>137.78933321</v>
      </c>
      <c r="D394" s="569">
        <v>59.279649480000003</v>
      </c>
      <c r="E394" s="587">
        <v>141.80000000000001</v>
      </c>
      <c r="F394" s="570">
        <v>60.6</v>
      </c>
    </row>
    <row r="395" spans="2:6" ht="15.75">
      <c r="B395" s="585" t="s">
        <v>555</v>
      </c>
      <c r="C395" s="593">
        <f>SUM(C383:C394)</f>
        <v>840.46398367999984</v>
      </c>
      <c r="D395" s="593">
        <f>SUM(D383:D394)</f>
        <v>385.18997174999998</v>
      </c>
      <c r="E395" s="594">
        <f>SUM(E383:E394)</f>
        <v>862.90329999999994</v>
      </c>
      <c r="F395" s="595">
        <f>SUM(F383:F394)</f>
        <v>397.36040000000003</v>
      </c>
    </row>
    <row r="396" spans="2:6" ht="15.75">
      <c r="B396" s="585" t="s">
        <v>556</v>
      </c>
      <c r="C396" s="822">
        <f>C380+C395-D395</f>
        <v>772.40060250999977</v>
      </c>
      <c r="D396" s="823"/>
      <c r="E396" s="822">
        <f>E380+E395-F395</f>
        <v>793.90329999999994</v>
      </c>
      <c r="F396" s="824"/>
    </row>
    <row r="397" spans="2:6" ht="15.75">
      <c r="B397" s="586"/>
      <c r="C397" s="569"/>
      <c r="D397" s="569"/>
      <c r="E397" s="587"/>
      <c r="F397" s="570"/>
    </row>
    <row r="398" spans="2:6" ht="15.75">
      <c r="B398" s="588" t="s">
        <v>557</v>
      </c>
      <c r="C398" s="552"/>
      <c r="D398" s="552"/>
      <c r="E398" s="589"/>
      <c r="F398" s="553"/>
    </row>
    <row r="399" spans="2:6" ht="15.75">
      <c r="B399" s="590" t="s">
        <v>526</v>
      </c>
      <c r="C399" s="565">
        <v>141.88169929</v>
      </c>
      <c r="D399" s="565">
        <v>50.048146299999999</v>
      </c>
      <c r="E399" s="591">
        <v>147.2071</v>
      </c>
      <c r="F399" s="566">
        <v>51.48</v>
      </c>
    </row>
    <row r="400" spans="2:6" ht="15.75">
      <c r="B400" s="590" t="s">
        <v>527</v>
      </c>
      <c r="C400" s="565">
        <v>54.986867629999999</v>
      </c>
      <c r="D400" s="565">
        <v>43.150244180000001</v>
      </c>
      <c r="E400" s="591">
        <v>58.082299999999996</v>
      </c>
      <c r="F400" s="566">
        <v>44.4</v>
      </c>
    </row>
    <row r="401" spans="2:6" ht="15.75">
      <c r="B401" s="590" t="s">
        <v>528</v>
      </c>
      <c r="C401" s="565">
        <v>83.908669380000006</v>
      </c>
      <c r="D401" s="565">
        <v>52.881308820000001</v>
      </c>
      <c r="E401" s="591">
        <v>87.484999999999999</v>
      </c>
      <c r="F401" s="566">
        <v>54</v>
      </c>
    </row>
    <row r="402" spans="2:6" ht="15.75">
      <c r="B402" s="590" t="s">
        <v>529</v>
      </c>
      <c r="C402" s="565">
        <v>83.471892389999994</v>
      </c>
      <c r="D402" s="565">
        <v>92.411427750000001</v>
      </c>
      <c r="E402" s="591">
        <v>88.406000000000006</v>
      </c>
      <c r="F402" s="566">
        <v>94.25</v>
      </c>
    </row>
    <row r="403" spans="2:6" ht="15.75">
      <c r="B403" s="590" t="s">
        <v>530</v>
      </c>
      <c r="C403" s="565">
        <v>31.987242160000001</v>
      </c>
      <c r="D403" s="565">
        <v>88.891252980000004</v>
      </c>
      <c r="E403" s="591">
        <v>33.795000000000002</v>
      </c>
      <c r="F403" s="566">
        <v>90.95</v>
      </c>
    </row>
    <row r="404" spans="2:6" ht="15.75">
      <c r="B404" s="590" t="s">
        <v>531</v>
      </c>
      <c r="C404" s="565">
        <v>80.554382149999995</v>
      </c>
      <c r="D404" s="565">
        <v>122.07327168</v>
      </c>
      <c r="E404" s="591">
        <v>85.453000000000003</v>
      </c>
      <c r="F404" s="566">
        <v>124.7109</v>
      </c>
    </row>
    <row r="405" spans="2:6" ht="15.75">
      <c r="B405" s="590" t="s">
        <v>532</v>
      </c>
      <c r="C405" s="565">
        <v>205.04913059</v>
      </c>
      <c r="D405" s="565">
        <v>115.43420586000001</v>
      </c>
      <c r="E405" s="591">
        <v>213.7928</v>
      </c>
      <c r="F405" s="566">
        <v>118.42</v>
      </c>
    </row>
    <row r="406" spans="2:6" ht="15.75">
      <c r="B406" s="592" t="s">
        <v>533</v>
      </c>
      <c r="C406" s="565">
        <v>142.41699639999999</v>
      </c>
      <c r="D406" s="565">
        <v>67.80028926</v>
      </c>
      <c r="E406" s="591">
        <v>150.95679999999999</v>
      </c>
      <c r="F406" s="566">
        <v>69.8</v>
      </c>
    </row>
    <row r="407" spans="2:6" ht="15.75">
      <c r="B407" s="590" t="s">
        <v>534</v>
      </c>
      <c r="C407" s="565">
        <v>110.69595016</v>
      </c>
      <c r="D407" s="565">
        <v>85.460817199999994</v>
      </c>
      <c r="E407" s="591">
        <v>117.69119999999999</v>
      </c>
      <c r="F407" s="566">
        <v>88</v>
      </c>
    </row>
    <row r="408" spans="2:6" ht="15.75">
      <c r="B408" s="590" t="s">
        <v>535</v>
      </c>
      <c r="C408" s="565">
        <v>50.09247027</v>
      </c>
      <c r="D408" s="565">
        <v>83.239593490000004</v>
      </c>
      <c r="E408" s="591">
        <v>52.65</v>
      </c>
      <c r="F408" s="566">
        <v>85.6</v>
      </c>
    </row>
    <row r="409" spans="2:6" ht="15.75">
      <c r="B409" s="590" t="s">
        <v>536</v>
      </c>
      <c r="C409" s="565">
        <v>66.566082510000001</v>
      </c>
      <c r="D409" s="565">
        <v>70.599726110000006</v>
      </c>
      <c r="E409" s="591">
        <v>70.3172</v>
      </c>
      <c r="F409" s="566">
        <v>72.903300000000002</v>
      </c>
    </row>
    <row r="410" spans="2:6" ht="15.75">
      <c r="B410" s="586" t="s">
        <v>537</v>
      </c>
      <c r="C410" s="569">
        <v>191.2148775</v>
      </c>
      <c r="D410" s="569">
        <v>128.22313735</v>
      </c>
      <c r="E410" s="587">
        <v>200</v>
      </c>
      <c r="F410" s="570">
        <v>132.66900000000001</v>
      </c>
    </row>
    <row r="411" spans="2:6" ht="15.75">
      <c r="B411" s="596" t="s">
        <v>555</v>
      </c>
      <c r="C411" s="597">
        <f>SUM(C399:C410)</f>
        <v>1242.82626043</v>
      </c>
      <c r="D411" s="597">
        <f>SUM(D399:D410)</f>
        <v>1000.2134209799999</v>
      </c>
      <c r="E411" s="598">
        <f>SUM(E399:E410)</f>
        <v>1305.8363999999999</v>
      </c>
      <c r="F411" s="599">
        <f>SUM(F399:F410)</f>
        <v>1027.1831999999999</v>
      </c>
    </row>
    <row r="412" spans="2:6" ht="15.75">
      <c r="B412" s="596" t="s">
        <v>559</v>
      </c>
      <c r="C412" s="822">
        <f>C396+C411-D411</f>
        <v>1015.0134419599999</v>
      </c>
      <c r="D412" s="823"/>
      <c r="E412" s="822">
        <f>E396+E411-F411</f>
        <v>1072.5565000000001</v>
      </c>
      <c r="F412" s="824"/>
    </row>
    <row r="413" spans="2:6" ht="6" customHeight="1"/>
    <row r="414" spans="2:6">
      <c r="B414" s="554" t="s">
        <v>52</v>
      </c>
    </row>
    <row r="417" spans="1:8">
      <c r="B417" s="505" t="s">
        <v>558</v>
      </c>
    </row>
    <row r="420" spans="1:8">
      <c r="A420" s="555"/>
      <c r="B420" s="555"/>
      <c r="C420" s="555"/>
      <c r="D420" s="555"/>
      <c r="E420" s="555"/>
      <c r="F420" s="555"/>
    </row>
    <row r="424" spans="1:8" ht="15.75">
      <c r="B424" s="578" t="s">
        <v>794</v>
      </c>
    </row>
    <row r="425" spans="1:8" ht="15.75">
      <c r="B425" s="578" t="s">
        <v>521</v>
      </c>
    </row>
    <row r="426" spans="1:8" ht="13.5" thickBot="1">
      <c r="B426" s="506"/>
      <c r="C426" s="507"/>
      <c r="D426" s="506"/>
      <c r="E426" s="507"/>
      <c r="F426" s="507"/>
      <c r="G426" s="507"/>
      <c r="H426" s="507"/>
    </row>
    <row r="427" spans="1:8" ht="15.75">
      <c r="B427" s="825"/>
      <c r="C427" s="819" t="s">
        <v>522</v>
      </c>
      <c r="D427" s="820"/>
      <c r="E427" s="827"/>
      <c r="F427" s="819" t="s">
        <v>523</v>
      </c>
      <c r="G427" s="820"/>
      <c r="H427" s="821"/>
    </row>
    <row r="428" spans="1:8" ht="15.75">
      <c r="B428" s="826"/>
      <c r="C428" s="582" t="s">
        <v>525</v>
      </c>
      <c r="D428" s="582" t="s">
        <v>538</v>
      </c>
      <c r="E428" s="582" t="s">
        <v>793</v>
      </c>
      <c r="F428" s="583" t="s">
        <v>525</v>
      </c>
      <c r="G428" s="582" t="s">
        <v>538</v>
      </c>
      <c r="H428" s="734" t="s">
        <v>793</v>
      </c>
    </row>
    <row r="429" spans="1:8" ht="15.75" hidden="1">
      <c r="B429" s="585" t="s">
        <v>519</v>
      </c>
      <c r="C429" s="741">
        <v>1242.82626043</v>
      </c>
      <c r="D429" s="597">
        <v>1000.2134209799999</v>
      </c>
      <c r="E429" s="597">
        <v>1015.01344191</v>
      </c>
      <c r="F429" s="597">
        <v>1305.8363999999999</v>
      </c>
      <c r="G429" s="740">
        <v>1027.1831999999999</v>
      </c>
      <c r="H429" s="599">
        <v>1072.5564999999999</v>
      </c>
    </row>
    <row r="430" spans="1:8" ht="6" hidden="1" customHeight="1">
      <c r="B430" s="586"/>
      <c r="C430" s="569"/>
      <c r="D430" s="569"/>
      <c r="E430" s="569"/>
      <c r="F430" s="587"/>
      <c r="G430" s="569"/>
      <c r="H430" s="735"/>
    </row>
    <row r="431" spans="1:8" ht="15.75" hidden="1">
      <c r="B431" s="588" t="s">
        <v>629</v>
      </c>
      <c r="C431" s="552"/>
      <c r="D431" s="552"/>
      <c r="E431" s="552"/>
      <c r="F431" s="589"/>
      <c r="G431" s="552"/>
      <c r="H431" s="736"/>
    </row>
    <row r="432" spans="1:8" ht="15.75" hidden="1">
      <c r="B432" s="590" t="s">
        <v>526</v>
      </c>
      <c r="C432" s="565">
        <v>69.404133900000005</v>
      </c>
      <c r="D432" s="565">
        <v>81.520089540000001</v>
      </c>
      <c r="E432" s="565">
        <f>E429+C432-D432</f>
        <v>1002.8974862700001</v>
      </c>
      <c r="F432" s="591">
        <v>72.968699999999998</v>
      </c>
      <c r="G432" s="565">
        <v>85.325900000000004</v>
      </c>
      <c r="H432" s="737">
        <f>H429+F432-G432</f>
        <v>1060.1992999999998</v>
      </c>
    </row>
    <row r="433" spans="2:8" ht="15.75" hidden="1">
      <c r="B433" s="590" t="s">
        <v>527</v>
      </c>
      <c r="C433" s="565">
        <v>48.290480559999999</v>
      </c>
      <c r="D433" s="565">
        <v>70.026955380000004</v>
      </c>
      <c r="E433" s="565">
        <f t="shared" ref="E433:E443" si="0">E432+C433-D433</f>
        <v>981.16101145000005</v>
      </c>
      <c r="F433" s="591">
        <v>51.41</v>
      </c>
      <c r="G433" s="565">
        <v>74.032300000000006</v>
      </c>
      <c r="H433" s="737">
        <f t="shared" ref="H433:H443" si="1">H432+F433-G433</f>
        <v>1037.5769999999998</v>
      </c>
    </row>
    <row r="434" spans="2:8" ht="15.75" hidden="1">
      <c r="B434" s="590" t="s">
        <v>528</v>
      </c>
      <c r="C434" s="565"/>
      <c r="D434" s="565">
        <v>293.23442447999997</v>
      </c>
      <c r="E434" s="565">
        <f t="shared" si="0"/>
        <v>687.92658697000002</v>
      </c>
      <c r="F434" s="591"/>
      <c r="G434" s="565">
        <v>310.61529999999999</v>
      </c>
      <c r="H434" s="737">
        <f t="shared" si="1"/>
        <v>726.96169999999984</v>
      </c>
    </row>
    <row r="435" spans="2:8" ht="15.75" hidden="1">
      <c r="B435" s="590" t="s">
        <v>529</v>
      </c>
      <c r="C435" s="565">
        <v>31.895047770000001</v>
      </c>
      <c r="D435" s="565"/>
      <c r="E435" s="565">
        <f t="shared" si="0"/>
        <v>719.82163474000004</v>
      </c>
      <c r="F435" s="591">
        <v>34.1</v>
      </c>
      <c r="G435" s="565"/>
      <c r="H435" s="737">
        <f t="shared" si="1"/>
        <v>761.06169999999986</v>
      </c>
    </row>
    <row r="436" spans="2:8" ht="15.75" hidden="1">
      <c r="B436" s="590" t="s">
        <v>530</v>
      </c>
      <c r="C436" s="565"/>
      <c r="D436" s="565">
        <v>1.91165498</v>
      </c>
      <c r="E436" s="565">
        <f t="shared" si="0"/>
        <v>717.90997976000006</v>
      </c>
      <c r="F436" s="591"/>
      <c r="G436" s="565">
        <v>2</v>
      </c>
      <c r="H436" s="737">
        <f t="shared" si="1"/>
        <v>759.06169999999986</v>
      </c>
    </row>
    <row r="437" spans="2:8" ht="15.75" hidden="1">
      <c r="B437" s="590" t="s">
        <v>531</v>
      </c>
      <c r="C437" s="565">
        <v>3.8058357699999998</v>
      </c>
      <c r="D437" s="565">
        <v>48.84975</v>
      </c>
      <c r="E437" s="565">
        <f t="shared" si="0"/>
        <v>672.86606553000013</v>
      </c>
      <c r="F437" s="591">
        <v>4.05</v>
      </c>
      <c r="G437" s="565">
        <v>50</v>
      </c>
      <c r="H437" s="737">
        <f t="shared" si="1"/>
        <v>713.11169999999981</v>
      </c>
    </row>
    <row r="438" spans="2:8" ht="15.75" hidden="1">
      <c r="B438" s="590" t="s">
        <v>532</v>
      </c>
      <c r="C438" s="565">
        <v>113.79890741</v>
      </c>
      <c r="D438" s="565">
        <v>96.984460979999994</v>
      </c>
      <c r="E438" s="565">
        <f t="shared" si="0"/>
        <v>689.6805119600001</v>
      </c>
      <c r="F438" s="591">
        <v>120.328</v>
      </c>
      <c r="G438" s="565">
        <v>102.1045</v>
      </c>
      <c r="H438" s="737">
        <f t="shared" si="1"/>
        <v>731.33519999999976</v>
      </c>
    </row>
    <row r="439" spans="2:8" ht="15.75" hidden="1">
      <c r="B439" s="592" t="s">
        <v>533</v>
      </c>
      <c r="C439" s="565">
        <v>87.426714599999997</v>
      </c>
      <c r="D439" s="565">
        <v>122.74377866</v>
      </c>
      <c r="E439" s="565">
        <f t="shared" si="0"/>
        <v>654.3634479000001</v>
      </c>
      <c r="F439" s="591">
        <v>92.668000000000006</v>
      </c>
      <c r="G439" s="565">
        <v>130.43</v>
      </c>
      <c r="H439" s="737">
        <f t="shared" si="1"/>
        <v>693.57319999999982</v>
      </c>
    </row>
    <row r="440" spans="2:8" ht="15.75" hidden="1">
      <c r="B440" s="590" t="s">
        <v>534</v>
      </c>
      <c r="C440" s="565">
        <v>109.51685811</v>
      </c>
      <c r="D440" s="565">
        <v>153.40148529000001</v>
      </c>
      <c r="E440" s="565">
        <f t="shared" si="0"/>
        <v>610.47882072000016</v>
      </c>
      <c r="F440" s="591">
        <v>117.43300000000001</v>
      </c>
      <c r="G440" s="565">
        <v>162</v>
      </c>
      <c r="H440" s="737">
        <f t="shared" si="1"/>
        <v>649.00619999999981</v>
      </c>
    </row>
    <row r="441" spans="2:8" ht="15.75" hidden="1">
      <c r="B441" s="590" t="s">
        <v>535</v>
      </c>
      <c r="C441" s="565">
        <v>80.355410989999996</v>
      </c>
      <c r="D441" s="565">
        <v>33.500930099999998</v>
      </c>
      <c r="E441" s="565">
        <f t="shared" si="0"/>
        <v>657.33330161000015</v>
      </c>
      <c r="F441" s="591">
        <v>85.825000000000003</v>
      </c>
      <c r="G441" s="565">
        <v>35.549999999999997</v>
      </c>
      <c r="H441" s="737">
        <f t="shared" si="1"/>
        <v>699.2811999999999</v>
      </c>
    </row>
    <row r="442" spans="2:8" ht="15.75" hidden="1">
      <c r="B442" s="590" t="s">
        <v>536</v>
      </c>
      <c r="C442" s="565">
        <v>62.099716860000001</v>
      </c>
      <c r="D442" s="565">
        <v>50.17441693</v>
      </c>
      <c r="E442" s="565">
        <f t="shared" si="0"/>
        <v>669.2586015400002</v>
      </c>
      <c r="F442" s="591">
        <v>66.458299999999994</v>
      </c>
      <c r="G442" s="565">
        <v>53.217199999999998</v>
      </c>
      <c r="H442" s="737">
        <f t="shared" si="1"/>
        <v>712.52229999999986</v>
      </c>
    </row>
    <row r="443" spans="2:8" ht="15.75" hidden="1">
      <c r="B443" s="586" t="s">
        <v>537</v>
      </c>
      <c r="C443" s="569">
        <v>125.20430057</v>
      </c>
      <c r="D443" s="569">
        <v>94.295439999999999</v>
      </c>
      <c r="E443" s="569">
        <f t="shared" si="0"/>
        <v>700.1674621100002</v>
      </c>
      <c r="F443" s="587">
        <v>133.30889999999999</v>
      </c>
      <c r="G443" s="569">
        <v>100</v>
      </c>
      <c r="H443" s="735">
        <f t="shared" si="1"/>
        <v>745.83119999999985</v>
      </c>
    </row>
    <row r="444" spans="2:8" ht="15.75" hidden="1">
      <c r="B444" s="585" t="s">
        <v>619</v>
      </c>
      <c r="C444" s="593">
        <f>SUM(C432:C443)</f>
        <v>731.79740653999988</v>
      </c>
      <c r="D444" s="593">
        <f>SUM(D432:D443)</f>
        <v>1046.64338634</v>
      </c>
      <c r="E444" s="593">
        <f>E429+C444-D444</f>
        <v>700.16746210999986</v>
      </c>
      <c r="F444" s="594">
        <f>SUM(F432:F443)</f>
        <v>778.54990000000009</v>
      </c>
      <c r="G444" s="593">
        <f>SUM(G432:G443)</f>
        <v>1105.2752</v>
      </c>
      <c r="H444" s="738">
        <f>H429+F444-G444</f>
        <v>745.83120000000008</v>
      </c>
    </row>
    <row r="445" spans="2:8" ht="6" customHeight="1">
      <c r="B445" s="586"/>
      <c r="C445" s="569"/>
      <c r="D445" s="569"/>
      <c r="E445" s="569"/>
      <c r="F445" s="587"/>
      <c r="G445" s="569"/>
      <c r="H445" s="735"/>
    </row>
    <row r="446" spans="2:8" ht="15.75">
      <c r="B446" s="588" t="s">
        <v>700</v>
      </c>
      <c r="C446" s="552"/>
      <c r="D446" s="552"/>
      <c r="E446" s="552"/>
      <c r="F446" s="589"/>
      <c r="G446" s="552"/>
      <c r="H446" s="736"/>
    </row>
    <row r="447" spans="2:8" ht="15.75">
      <c r="B447" s="590" t="s">
        <v>526</v>
      </c>
      <c r="C447" s="565">
        <v>57.738757110000002</v>
      </c>
      <c r="D447" s="565">
        <v>77.680748519999995</v>
      </c>
      <c r="E447" s="565">
        <f>E444+C447-D447</f>
        <v>680.22547069999996</v>
      </c>
      <c r="F447" s="591">
        <v>61.792999999999999</v>
      </c>
      <c r="G447" s="565">
        <v>81.947900000000004</v>
      </c>
      <c r="H447" s="737">
        <f>H444+F447-G447</f>
        <v>725.67630000000008</v>
      </c>
    </row>
    <row r="448" spans="2:8" ht="15.75">
      <c r="B448" s="590" t="s">
        <v>527</v>
      </c>
      <c r="C448" s="565">
        <v>147.17024083000001</v>
      </c>
      <c r="D448" s="565">
        <v>42.868952929999999</v>
      </c>
      <c r="E448" s="565">
        <f>E447+C448-D448</f>
        <v>784.52675859999999</v>
      </c>
      <c r="F448" s="591">
        <v>156.13200000000001</v>
      </c>
      <c r="G448" s="565">
        <v>45.335000000000001</v>
      </c>
      <c r="H448" s="737">
        <f>H447+F448-G448</f>
        <v>836.47330000000011</v>
      </c>
    </row>
    <row r="449" spans="2:8" ht="15.75">
      <c r="B449" s="590" t="s">
        <v>528</v>
      </c>
      <c r="C449" s="565">
        <v>60.938161610000002</v>
      </c>
      <c r="D449" s="565"/>
      <c r="E449" s="565">
        <f t="shared" ref="E449:E457" si="2">E448+C449-D449</f>
        <v>845.46492020999995</v>
      </c>
      <c r="F449" s="591">
        <v>64.587999999999994</v>
      </c>
      <c r="G449" s="565"/>
      <c r="H449" s="737">
        <f t="shared" ref="H449:H457" si="3">H448+F449-G449</f>
        <v>901.06130000000007</v>
      </c>
    </row>
    <row r="450" spans="2:8" ht="15.75">
      <c r="B450" s="590" t="s">
        <v>529</v>
      </c>
      <c r="C450" s="565"/>
      <c r="D450" s="565">
        <v>42.422611449999998</v>
      </c>
      <c r="E450" s="565">
        <f t="shared" si="2"/>
        <v>803.04230875999997</v>
      </c>
      <c r="F450" s="591"/>
      <c r="G450" s="565">
        <v>45.2</v>
      </c>
      <c r="H450" s="737">
        <f t="shared" si="3"/>
        <v>855.86130000000003</v>
      </c>
    </row>
    <row r="451" spans="2:8" ht="15.75">
      <c r="B451" s="590" t="s">
        <v>530</v>
      </c>
      <c r="C451" s="565">
        <v>24.502457369999998</v>
      </c>
      <c r="D451" s="565">
        <v>69.985047230000006</v>
      </c>
      <c r="E451" s="565">
        <f t="shared" si="2"/>
        <v>757.55971890000001</v>
      </c>
      <c r="F451" s="591">
        <v>25.91</v>
      </c>
      <c r="G451" s="565">
        <v>73.927199999999999</v>
      </c>
      <c r="H451" s="737">
        <f t="shared" si="3"/>
        <v>807.84410000000003</v>
      </c>
    </row>
    <row r="452" spans="2:8" ht="15.75">
      <c r="B452" s="590" t="s">
        <v>531</v>
      </c>
      <c r="C452" s="565">
        <v>73.081631520000002</v>
      </c>
      <c r="D452" s="565">
        <v>22.574991090000001</v>
      </c>
      <c r="E452" s="565">
        <f t="shared" si="2"/>
        <v>808.06635932999995</v>
      </c>
      <c r="F452" s="591">
        <v>77.228999999999999</v>
      </c>
      <c r="G452" s="565">
        <v>24.05</v>
      </c>
      <c r="H452" s="737">
        <f t="shared" si="3"/>
        <v>861.02310000000011</v>
      </c>
    </row>
    <row r="453" spans="2:8" ht="15.75">
      <c r="B453" s="590" t="s">
        <v>532</v>
      </c>
      <c r="C453" s="565">
        <v>67.586478729999996</v>
      </c>
      <c r="D453" s="565">
        <v>108.92584376000001</v>
      </c>
      <c r="E453" s="565">
        <f t="shared" si="2"/>
        <v>766.72699429999989</v>
      </c>
      <c r="F453" s="591">
        <v>70.686499999999995</v>
      </c>
      <c r="G453" s="565">
        <v>114.87690000000001</v>
      </c>
      <c r="H453" s="737">
        <f t="shared" si="3"/>
        <v>816.83270000000016</v>
      </c>
    </row>
    <row r="454" spans="2:8" ht="15.75">
      <c r="B454" s="592" t="s">
        <v>533</v>
      </c>
      <c r="C454" s="565">
        <v>34.529456680000003</v>
      </c>
      <c r="D454" s="565">
        <v>47.839589779999997</v>
      </c>
      <c r="E454" s="565">
        <f t="shared" si="2"/>
        <v>753.41686119999986</v>
      </c>
      <c r="F454" s="591">
        <v>36.394199999999998</v>
      </c>
      <c r="G454" s="565">
        <v>51.131999999999998</v>
      </c>
      <c r="H454" s="737">
        <f t="shared" si="3"/>
        <v>802.09490000000017</v>
      </c>
    </row>
    <row r="455" spans="2:8" ht="15.75">
      <c r="B455" s="590" t="s">
        <v>534</v>
      </c>
      <c r="C455" s="565">
        <v>110.87485719999999</v>
      </c>
      <c r="D455" s="565">
        <v>100.61153749</v>
      </c>
      <c r="E455" s="565">
        <f t="shared" si="2"/>
        <v>763.68018090999976</v>
      </c>
      <c r="F455" s="591">
        <v>117.31100000000001</v>
      </c>
      <c r="G455" s="565">
        <v>107.825</v>
      </c>
      <c r="H455" s="737">
        <f t="shared" si="3"/>
        <v>811.58090000000016</v>
      </c>
    </row>
    <row r="456" spans="2:8" ht="15.75">
      <c r="B456" s="590" t="s">
        <v>535</v>
      </c>
      <c r="C456" s="565">
        <v>55.545440249999999</v>
      </c>
      <c r="D456" s="565">
        <v>69.925061869999993</v>
      </c>
      <c r="E456" s="565">
        <f t="shared" si="2"/>
        <v>749.30055928999968</v>
      </c>
      <c r="F456" s="591">
        <v>58.957000000000001</v>
      </c>
      <c r="G456" s="565">
        <v>74.885000000000005</v>
      </c>
      <c r="H456" s="737">
        <f t="shared" si="3"/>
        <v>795.65290000000016</v>
      </c>
    </row>
    <row r="457" spans="2:8" ht="15.75">
      <c r="B457" s="590" t="s">
        <v>536</v>
      </c>
      <c r="C457" s="565">
        <v>43.18521032000001</v>
      </c>
      <c r="D457" s="565">
        <v>59.002457759999999</v>
      </c>
      <c r="E457" s="565">
        <f t="shared" si="2"/>
        <v>733.48331184999972</v>
      </c>
      <c r="F457" s="591">
        <v>45.833100000000009</v>
      </c>
      <c r="G457" s="565">
        <v>63.028300000000002</v>
      </c>
      <c r="H457" s="737">
        <f t="shared" si="3"/>
        <v>778.45770000000016</v>
      </c>
    </row>
    <row r="458" spans="2:8" ht="15.75">
      <c r="B458" s="586" t="s">
        <v>537</v>
      </c>
      <c r="C458" s="569">
        <v>160.20427986999999</v>
      </c>
      <c r="D458" s="569">
        <v>123.02257152</v>
      </c>
      <c r="E458" s="569">
        <f>E457+C458-D458</f>
        <v>770.66502019999973</v>
      </c>
      <c r="F458" s="587">
        <v>168.95509999999999</v>
      </c>
      <c r="G458" s="569">
        <v>130.8134</v>
      </c>
      <c r="H458" s="735">
        <f>H457+F458-G458</f>
        <v>816.59940000000017</v>
      </c>
    </row>
    <row r="459" spans="2:8" ht="15.75">
      <c r="B459" s="585" t="s">
        <v>696</v>
      </c>
      <c r="C459" s="597">
        <f>SUM(C447:C458)</f>
        <v>835.35697148999998</v>
      </c>
      <c r="D459" s="597">
        <f>SUM(D447:D458)</f>
        <v>764.85941339999999</v>
      </c>
      <c r="E459" s="593">
        <f>E444+C459-D459</f>
        <v>770.66502019999984</v>
      </c>
      <c r="F459" s="598">
        <f>SUM(F447:F458)</f>
        <v>883.78890000000013</v>
      </c>
      <c r="G459" s="597">
        <f>SUM(G447:G458)</f>
        <v>813.02070000000003</v>
      </c>
      <c r="H459" s="738">
        <f>H444+F459-G459</f>
        <v>816.59940000000006</v>
      </c>
    </row>
    <row r="460" spans="2:8" ht="6" customHeight="1">
      <c r="B460" s="586"/>
      <c r="C460" s="569"/>
      <c r="D460" s="569"/>
      <c r="E460" s="569"/>
      <c r="F460" s="587"/>
      <c r="G460" s="569"/>
      <c r="H460" s="735"/>
    </row>
    <row r="461" spans="2:8" ht="15.75">
      <c r="B461" s="588" t="s">
        <v>795</v>
      </c>
      <c r="C461" s="552"/>
      <c r="D461" s="552"/>
      <c r="E461" s="552"/>
      <c r="F461" s="589"/>
      <c r="G461" s="552"/>
      <c r="H461" s="736"/>
    </row>
    <row r="462" spans="2:8" ht="15.75">
      <c r="B462" s="590" t="s">
        <v>526</v>
      </c>
      <c r="C462" s="565">
        <v>126.46023266</v>
      </c>
      <c r="D462" s="565">
        <v>90.703489840000003</v>
      </c>
      <c r="E462" s="565">
        <f>E459+C462-D462</f>
        <v>806.42176301999984</v>
      </c>
      <c r="F462" s="591">
        <v>133.00299999999999</v>
      </c>
      <c r="G462" s="565">
        <v>97.064999999999998</v>
      </c>
      <c r="H462" s="737">
        <f>H459+F462-G462</f>
        <v>852.53739999999993</v>
      </c>
    </row>
    <row r="463" spans="2:8" ht="15.75">
      <c r="B463" s="590" t="s">
        <v>527</v>
      </c>
      <c r="C463" s="565">
        <v>121.13137347</v>
      </c>
      <c r="D463" s="565">
        <v>71.328148290000001</v>
      </c>
      <c r="E463" s="565">
        <f>E462+C463-D463</f>
        <v>856.22498819999987</v>
      </c>
      <c r="F463" s="591">
        <v>128.38900000000001</v>
      </c>
      <c r="G463" s="565">
        <v>76.016999999999996</v>
      </c>
      <c r="H463" s="737">
        <f>H462+F463-G463</f>
        <v>904.90940000000001</v>
      </c>
    </row>
    <row r="464" spans="2:8" ht="15.75">
      <c r="B464" s="590" t="s">
        <v>528</v>
      </c>
      <c r="C464" s="565">
        <v>64.755041210000002</v>
      </c>
      <c r="D464" s="565">
        <v>57.815154739999997</v>
      </c>
      <c r="E464" s="565">
        <f t="shared" ref="E464:E472" si="4">E463+C464-D464</f>
        <v>863.16487466999979</v>
      </c>
      <c r="F464" s="591">
        <v>68.100899999999996</v>
      </c>
      <c r="G464" s="565">
        <v>61.338000000000001</v>
      </c>
      <c r="H464" s="737">
        <f t="shared" ref="H464:H472" si="5">H463+F464-G464</f>
        <v>911.67230000000006</v>
      </c>
    </row>
    <row r="465" spans="2:8" ht="15.75">
      <c r="B465" s="590" t="s">
        <v>529</v>
      </c>
      <c r="C465" s="565"/>
      <c r="D465" s="565">
        <v>30.000359549999999</v>
      </c>
      <c r="E465" s="565">
        <f t="shared" si="4"/>
        <v>833.16451511999981</v>
      </c>
      <c r="F465" s="591"/>
      <c r="G465" s="565">
        <v>30.5</v>
      </c>
      <c r="H465" s="737">
        <f t="shared" si="5"/>
        <v>881.17230000000006</v>
      </c>
    </row>
    <row r="466" spans="2:8" ht="15.75">
      <c r="B466" s="590" t="s">
        <v>530</v>
      </c>
      <c r="C466" s="565"/>
      <c r="D466" s="565">
        <v>108.64774834000001</v>
      </c>
      <c r="E466" s="565">
        <f t="shared" si="4"/>
        <v>724.51676677999978</v>
      </c>
      <c r="F466" s="591"/>
      <c r="G466" s="565">
        <v>113.10899999999999</v>
      </c>
      <c r="H466" s="737">
        <f t="shared" si="5"/>
        <v>768.06330000000003</v>
      </c>
    </row>
    <row r="467" spans="2:8" ht="15.75">
      <c r="B467" s="590" t="s">
        <v>531</v>
      </c>
      <c r="C467" s="565">
        <v>165.90560244999998</v>
      </c>
      <c r="D467" s="565">
        <v>88.045141900000004</v>
      </c>
      <c r="E467" s="565">
        <f t="shared" si="4"/>
        <v>802.37722732999976</v>
      </c>
      <c r="F467" s="591">
        <v>176.69200001999999</v>
      </c>
      <c r="G467" s="565">
        <v>91.450800000000001</v>
      </c>
      <c r="H467" s="737">
        <f t="shared" si="5"/>
        <v>853.30450002000009</v>
      </c>
    </row>
    <row r="468" spans="2:8" ht="15.75" hidden="1">
      <c r="B468" s="590" t="s">
        <v>532</v>
      </c>
      <c r="C468" s="565"/>
      <c r="D468" s="565"/>
      <c r="E468" s="565">
        <f t="shared" si="4"/>
        <v>802.37722732999976</v>
      </c>
      <c r="F468" s="591"/>
      <c r="G468" s="565"/>
      <c r="H468" s="737">
        <f t="shared" si="5"/>
        <v>853.30450002000009</v>
      </c>
    </row>
    <row r="469" spans="2:8" ht="15.75" hidden="1">
      <c r="B469" s="592" t="s">
        <v>533</v>
      </c>
      <c r="C469" s="565"/>
      <c r="D469" s="565"/>
      <c r="E469" s="565">
        <f t="shared" si="4"/>
        <v>802.37722732999976</v>
      </c>
      <c r="F469" s="591"/>
      <c r="G469" s="565"/>
      <c r="H469" s="737">
        <f t="shared" si="5"/>
        <v>853.30450002000009</v>
      </c>
    </row>
    <row r="470" spans="2:8" ht="15.75" hidden="1">
      <c r="B470" s="590" t="s">
        <v>534</v>
      </c>
      <c r="C470" s="565"/>
      <c r="D470" s="565"/>
      <c r="E470" s="565">
        <f t="shared" si="4"/>
        <v>802.37722732999976</v>
      </c>
      <c r="F470" s="591"/>
      <c r="G470" s="565"/>
      <c r="H470" s="737">
        <f t="shared" si="5"/>
        <v>853.30450002000009</v>
      </c>
    </row>
    <row r="471" spans="2:8" ht="15.75" hidden="1">
      <c r="B471" s="590" t="s">
        <v>535</v>
      </c>
      <c r="C471" s="565"/>
      <c r="D471" s="565"/>
      <c r="E471" s="565">
        <f t="shared" si="4"/>
        <v>802.37722732999976</v>
      </c>
      <c r="F471" s="591"/>
      <c r="G471" s="565"/>
      <c r="H471" s="737">
        <f t="shared" si="5"/>
        <v>853.30450002000009</v>
      </c>
    </row>
    <row r="472" spans="2:8" ht="15.75" hidden="1">
      <c r="B472" s="590" t="s">
        <v>536</v>
      </c>
      <c r="C472" s="565"/>
      <c r="D472" s="565"/>
      <c r="E472" s="565">
        <f t="shared" si="4"/>
        <v>802.37722732999976</v>
      </c>
      <c r="F472" s="591"/>
      <c r="G472" s="565"/>
      <c r="H472" s="737">
        <f t="shared" si="5"/>
        <v>853.30450002000009</v>
      </c>
    </row>
    <row r="473" spans="2:8" ht="15.75" hidden="1">
      <c r="B473" s="586" t="s">
        <v>537</v>
      </c>
      <c r="C473" s="569"/>
      <c r="D473" s="569"/>
      <c r="E473" s="569">
        <f>E472+C473-D473</f>
        <v>802.37722732999976</v>
      </c>
      <c r="F473" s="587"/>
      <c r="G473" s="569"/>
      <c r="H473" s="735">
        <f>H472+F473-G473</f>
        <v>853.30450002000009</v>
      </c>
    </row>
    <row r="474" spans="2:8" ht="15.75">
      <c r="B474" s="596" t="s">
        <v>796</v>
      </c>
      <c r="C474" s="597">
        <f>SUM(C462:C473)</f>
        <v>478.25224978999995</v>
      </c>
      <c r="D474" s="597">
        <f>SUM(D462:D473)</f>
        <v>446.54004266000004</v>
      </c>
      <c r="E474" s="597">
        <f>E459+C474-D474</f>
        <v>802.37722732999976</v>
      </c>
      <c r="F474" s="598">
        <f>SUM(F462:F473)</f>
        <v>506.18490001999999</v>
      </c>
      <c r="G474" s="597">
        <f>SUM(G462:G473)</f>
        <v>469.47979999999995</v>
      </c>
      <c r="H474" s="599">
        <f>H459+F474-G474</f>
        <v>853.30450002000009</v>
      </c>
    </row>
    <row r="475" spans="2:8" ht="6" customHeight="1" thickBot="1">
      <c r="B475" s="722"/>
      <c r="C475" s="723"/>
      <c r="D475" s="723"/>
      <c r="E475" s="723"/>
      <c r="F475" s="723"/>
      <c r="G475" s="723"/>
      <c r="H475" s="739"/>
    </row>
    <row r="476" spans="2:8" ht="6" customHeight="1"/>
    <row r="477" spans="2:8">
      <c r="B477" s="554" t="s">
        <v>52</v>
      </c>
    </row>
    <row r="480" spans="2:8">
      <c r="B480" s="505" t="s">
        <v>792</v>
      </c>
    </row>
  </sheetData>
  <mergeCells count="21">
    <mergeCell ref="B427:B428"/>
    <mergeCell ref="C427:E427"/>
    <mergeCell ref="B378:B379"/>
    <mergeCell ref="B2:D2"/>
    <mergeCell ref="B3:D3"/>
    <mergeCell ref="B4:D4"/>
    <mergeCell ref="B6:B7"/>
    <mergeCell ref="C6:C7"/>
    <mergeCell ref="D6:D7"/>
    <mergeCell ref="B219:D219"/>
    <mergeCell ref="B220:D220"/>
    <mergeCell ref="B222:B223"/>
    <mergeCell ref="C222:C223"/>
    <mergeCell ref="D222:D223"/>
    <mergeCell ref="F427:H427"/>
    <mergeCell ref="C380:D380"/>
    <mergeCell ref="E380:F380"/>
    <mergeCell ref="C396:D396"/>
    <mergeCell ref="E396:F396"/>
    <mergeCell ref="C412:D412"/>
    <mergeCell ref="E412:F412"/>
  </mergeCells>
  <printOptions horizontalCentered="1"/>
  <pageMargins left="0.7" right="0.7" top="0.75" bottom="0.75" header="0.3" footer="0.3"/>
  <pageSetup scale="12" orientation="portrait" r:id="rId1"/>
  <ignoredErrors>
    <ignoredError sqref="E444 E459 E474" formula="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13250"/>
    <pageSetUpPr fitToPage="1"/>
  </sheetPr>
  <dimension ref="C2:Y39"/>
  <sheetViews>
    <sheetView showGridLines="0" topLeftCell="D1" zoomScale="70" zoomScaleNormal="70" workbookViewId="0">
      <pane xSplit="3" ySplit="6" topLeftCell="G30" activePane="bottomRight" state="frozen"/>
      <selection activeCell="D1" sqref="D1"/>
      <selection pane="topRight" activeCell="G1" sqref="G1"/>
      <selection pane="bottomLeft" activeCell="D7" sqref="D7"/>
      <selection pane="bottomRight" activeCell="Z42" sqref="Z42"/>
    </sheetView>
  </sheetViews>
  <sheetFormatPr baseColWidth="10" defaultRowHeight="20.25"/>
  <cols>
    <col min="1" max="4" width="11.42578125" style="695"/>
    <col min="5" max="5" width="17.42578125" style="695" customWidth="1"/>
    <col min="6" max="6" width="6.42578125" style="695" customWidth="1"/>
    <col min="7" max="7" width="18.28515625" style="695" bestFit="1" customWidth="1"/>
    <col min="8" max="8" width="16.42578125" style="695" customWidth="1"/>
    <col min="9" max="9" width="11.42578125" style="695"/>
    <col min="10" max="10" width="13.7109375" style="695" customWidth="1"/>
    <col min="11" max="11" width="19.42578125" style="695" customWidth="1"/>
    <col min="12" max="12" width="22.42578125" style="695" customWidth="1"/>
    <col min="13" max="13" width="19.42578125" style="695" customWidth="1"/>
    <col min="14" max="14" width="11.42578125" style="695" hidden="1" customWidth="1"/>
    <col min="15" max="15" width="18.42578125" style="695" customWidth="1"/>
    <col min="16" max="16" width="33.42578125" style="695" hidden="1" customWidth="1"/>
    <col min="17" max="17" width="29.42578125" style="695" hidden="1" customWidth="1"/>
    <col min="18" max="18" width="12.42578125" style="695" customWidth="1"/>
    <col min="19" max="19" width="11.42578125" style="695"/>
    <col min="20" max="20" width="13.42578125" style="695" customWidth="1"/>
    <col min="21" max="21" width="18.42578125" style="695" customWidth="1"/>
    <col min="22" max="22" width="22.42578125" style="695" customWidth="1"/>
    <col min="23" max="23" width="22.42578125" style="695" hidden="1" customWidth="1"/>
    <col min="24" max="24" width="18.42578125" style="695" hidden="1" customWidth="1"/>
    <col min="25" max="25" width="19.42578125" style="695" hidden="1" customWidth="1"/>
    <col min="26" max="16384" width="11.42578125" style="695"/>
  </cols>
  <sheetData>
    <row r="2" spans="4:25" ht="27.75">
      <c r="E2" s="696" t="s">
        <v>834</v>
      </c>
    </row>
    <row r="3" spans="4:25">
      <c r="E3" s="660" t="s">
        <v>835</v>
      </c>
      <c r="N3" s="697"/>
      <c r="P3" s="697"/>
      <c r="Q3" s="697"/>
      <c r="W3" s="697"/>
      <c r="X3" s="697"/>
      <c r="Y3" s="697"/>
    </row>
    <row r="5" spans="4:25" ht="54" customHeight="1">
      <c r="E5" s="840" t="s">
        <v>646</v>
      </c>
      <c r="F5" s="840"/>
      <c r="G5" s="840" t="s">
        <v>587</v>
      </c>
      <c r="H5" s="838" t="s">
        <v>647</v>
      </c>
      <c r="I5" s="838" t="s">
        <v>588</v>
      </c>
      <c r="J5" s="838" t="s">
        <v>589</v>
      </c>
      <c r="K5" s="838" t="s">
        <v>701</v>
      </c>
      <c r="L5" s="838" t="s">
        <v>839</v>
      </c>
      <c r="M5" s="838" t="s">
        <v>590</v>
      </c>
      <c r="N5" s="838" t="s">
        <v>648</v>
      </c>
      <c r="O5" s="838" t="s">
        <v>702</v>
      </c>
      <c r="P5" s="838" t="s">
        <v>703</v>
      </c>
      <c r="Q5" s="838" t="s">
        <v>704</v>
      </c>
      <c r="R5" s="840" t="s">
        <v>705</v>
      </c>
      <c r="S5" s="840"/>
      <c r="T5" s="840"/>
      <c r="U5" s="838" t="s">
        <v>706</v>
      </c>
      <c r="V5" s="838" t="s">
        <v>707</v>
      </c>
      <c r="W5" s="837" t="s">
        <v>591</v>
      </c>
      <c r="X5" s="837" t="s">
        <v>708</v>
      </c>
      <c r="Y5" s="837" t="s">
        <v>592</v>
      </c>
    </row>
    <row r="6" spans="4:25" ht="54" customHeight="1">
      <c r="E6" s="840"/>
      <c r="F6" s="840"/>
      <c r="G6" s="840"/>
      <c r="H6" s="838"/>
      <c r="I6" s="838"/>
      <c r="J6" s="838"/>
      <c r="K6" s="838"/>
      <c r="L6" s="838"/>
      <c r="M6" s="838"/>
      <c r="N6" s="838" t="s">
        <v>709</v>
      </c>
      <c r="O6" s="838"/>
      <c r="P6" s="838"/>
      <c r="Q6" s="838"/>
      <c r="R6" s="703" t="s">
        <v>593</v>
      </c>
      <c r="S6" s="703" t="s">
        <v>594</v>
      </c>
      <c r="T6" s="703" t="s">
        <v>595</v>
      </c>
      <c r="U6" s="838"/>
      <c r="V6" s="838"/>
      <c r="W6" s="837"/>
      <c r="X6" s="837"/>
      <c r="Y6" s="837"/>
    </row>
    <row r="7" spans="4:25" ht="33.6" hidden="1" customHeight="1">
      <c r="D7" s="697"/>
      <c r="E7" s="698">
        <v>36376</v>
      </c>
      <c r="F7" s="636"/>
      <c r="G7" s="705">
        <v>38944</v>
      </c>
      <c r="H7" s="706">
        <v>150</v>
      </c>
      <c r="I7" s="641">
        <v>7</v>
      </c>
      <c r="J7" s="646">
        <v>9.5000000000000001E-2</v>
      </c>
      <c r="K7" s="646">
        <v>6.13E-2</v>
      </c>
      <c r="L7" s="641">
        <v>500</v>
      </c>
      <c r="M7" s="645"/>
      <c r="N7" s="645"/>
      <c r="O7" s="657">
        <f xml:space="preserve"> 0.92196 * 100</f>
        <v>92.195999999999998</v>
      </c>
      <c r="P7" s="647"/>
      <c r="Q7" s="647"/>
      <c r="R7" s="641" t="s">
        <v>596</v>
      </c>
      <c r="S7" s="641"/>
      <c r="T7" s="641" t="s">
        <v>597</v>
      </c>
      <c r="U7" s="647"/>
      <c r="V7" s="647"/>
      <c r="W7" s="647"/>
      <c r="X7" s="647"/>
      <c r="Y7" s="651"/>
    </row>
    <row r="8" spans="4:25" ht="33.6" hidden="1" customHeight="1">
      <c r="D8" s="697"/>
      <c r="E8" s="698">
        <v>36549</v>
      </c>
      <c r="F8" s="636"/>
      <c r="G8" s="707">
        <v>39097</v>
      </c>
      <c r="H8" s="708">
        <v>50</v>
      </c>
      <c r="I8" s="642">
        <v>7</v>
      </c>
      <c r="J8" s="649">
        <v>0.1</v>
      </c>
      <c r="K8" s="649">
        <v>6.7000000000000004E-2</v>
      </c>
      <c r="L8" s="642">
        <v>355</v>
      </c>
      <c r="M8" s="648"/>
      <c r="N8" s="648"/>
      <c r="O8" s="653">
        <f>0.98564 * 100</f>
        <v>98.563999999999993</v>
      </c>
      <c r="P8" s="644"/>
      <c r="Q8" s="644"/>
      <c r="R8" s="642" t="s">
        <v>596</v>
      </c>
      <c r="S8" s="642"/>
      <c r="T8" s="642" t="s">
        <v>597</v>
      </c>
      <c r="U8" s="644"/>
      <c r="V8" s="644"/>
      <c r="W8" s="644"/>
      <c r="X8" s="644"/>
      <c r="Y8" s="651"/>
    </row>
    <row r="9" spans="4:25" ht="33.6" hidden="1" customHeight="1">
      <c r="D9" s="697"/>
      <c r="E9" s="698">
        <v>37090</v>
      </c>
      <c r="F9" s="636"/>
      <c r="G9" s="707">
        <v>40749</v>
      </c>
      <c r="H9" s="708">
        <v>353.5</v>
      </c>
      <c r="I9" s="642">
        <v>10</v>
      </c>
      <c r="J9" s="649">
        <v>8.5000000000000006E-2</v>
      </c>
      <c r="K9" s="649">
        <v>5.0950000000000002E-2</v>
      </c>
      <c r="L9" s="642" t="s">
        <v>649</v>
      </c>
      <c r="M9" s="648">
        <v>1000</v>
      </c>
      <c r="N9" s="648">
        <f t="shared" ref="N9:N22" si="0">M9/H9</f>
        <v>2.8288543140028288</v>
      </c>
      <c r="O9" s="653">
        <f>0.99371 *100</f>
        <v>99.370999999999995</v>
      </c>
      <c r="P9" s="644"/>
      <c r="Q9" s="644"/>
      <c r="R9" s="642" t="s">
        <v>596</v>
      </c>
      <c r="S9" s="642"/>
      <c r="T9" s="642" t="s">
        <v>597</v>
      </c>
      <c r="U9" s="644"/>
      <c r="V9" s="644"/>
      <c r="W9" s="644"/>
      <c r="X9" s="644"/>
      <c r="Y9" s="651"/>
    </row>
    <row r="10" spans="4:25" ht="33.6" hidden="1" customHeight="1">
      <c r="D10" s="697"/>
      <c r="E10" s="698">
        <v>37460</v>
      </c>
      <c r="F10" s="636"/>
      <c r="G10" s="707">
        <v>40748</v>
      </c>
      <c r="H10" s="708">
        <v>300</v>
      </c>
      <c r="I10" s="642">
        <v>10</v>
      </c>
      <c r="J10" s="649">
        <v>8.5000000000000006E-2</v>
      </c>
      <c r="K10" s="649">
        <v>4.4420000000000001E-2</v>
      </c>
      <c r="L10" s="642" t="s">
        <v>710</v>
      </c>
      <c r="M10" s="648">
        <v>1200</v>
      </c>
      <c r="N10" s="648">
        <f t="shared" si="0"/>
        <v>4</v>
      </c>
      <c r="O10" s="653">
        <f>1.06842 *100</f>
        <v>106.842</v>
      </c>
      <c r="P10" s="644"/>
      <c r="Q10" s="644"/>
      <c r="R10" s="642"/>
      <c r="S10" s="642"/>
      <c r="T10" s="642"/>
      <c r="U10" s="644"/>
      <c r="V10" s="644"/>
      <c r="W10" s="644"/>
      <c r="X10" s="644"/>
      <c r="Y10" s="651"/>
    </row>
    <row r="11" spans="4:25" ht="33.6" customHeight="1">
      <c r="E11" s="704">
        <v>37349</v>
      </c>
      <c r="F11" s="656"/>
      <c r="G11" s="705">
        <v>48314</v>
      </c>
      <c r="H11" s="706">
        <v>500</v>
      </c>
      <c r="I11" s="641">
        <v>30</v>
      </c>
      <c r="J11" s="646">
        <v>8.2500000000000004E-2</v>
      </c>
      <c r="K11" s="646">
        <v>5.7239999999999999E-2</v>
      </c>
      <c r="L11" s="641" t="s">
        <v>607</v>
      </c>
      <c r="M11" s="645">
        <v>2500</v>
      </c>
      <c r="N11" s="645">
        <f t="shared" si="0"/>
        <v>5</v>
      </c>
      <c r="O11" s="657">
        <f>0.98646 *100</f>
        <v>98.646000000000001</v>
      </c>
      <c r="P11" s="657">
        <f>(10184.5960422609%/100)*100</f>
        <v>101.84596042260901</v>
      </c>
      <c r="Q11" s="657">
        <f t="shared" ref="Q11:Q20" si="1">((+P11-O11)*H11)/100</f>
        <v>15.99980211304505</v>
      </c>
      <c r="R11" s="641" t="s">
        <v>603</v>
      </c>
      <c r="S11" s="641" t="s">
        <v>597</v>
      </c>
      <c r="T11" s="641" t="s">
        <v>597</v>
      </c>
      <c r="U11" s="657">
        <v>111.77999999999999</v>
      </c>
      <c r="V11" s="646">
        <v>6.8419999999999995E-2</v>
      </c>
      <c r="W11" s="709">
        <v>0</v>
      </c>
      <c r="X11" s="657">
        <v>507.03</v>
      </c>
      <c r="Y11" s="658">
        <v>12.67</v>
      </c>
    </row>
    <row r="12" spans="4:25" ht="33.6" customHeight="1">
      <c r="E12" s="698">
        <v>37546</v>
      </c>
      <c r="F12" s="635" t="s">
        <v>711</v>
      </c>
      <c r="G12" s="707">
        <v>44950</v>
      </c>
      <c r="H12" s="708">
        <v>451.5</v>
      </c>
      <c r="I12" s="642">
        <v>20</v>
      </c>
      <c r="J12" s="649">
        <v>7.7499999999999999E-2</v>
      </c>
      <c r="K12" s="649">
        <v>4.19E-2</v>
      </c>
      <c r="L12" s="642" t="s">
        <v>602</v>
      </c>
      <c r="M12" s="648">
        <v>1625</v>
      </c>
      <c r="N12" s="648">
        <f t="shared" si="0"/>
        <v>3.5991140642303434</v>
      </c>
      <c r="O12" s="653">
        <f>0.9967 * 100</f>
        <v>99.67</v>
      </c>
      <c r="P12" s="653">
        <f>(10642.0658703528%/100)*100</f>
        <v>106.42065870352802</v>
      </c>
      <c r="Q12" s="653">
        <f t="shared" si="1"/>
        <v>30.479224046429</v>
      </c>
      <c r="R12" s="642" t="s">
        <v>603</v>
      </c>
      <c r="S12" s="642" t="s">
        <v>597</v>
      </c>
      <c r="T12" s="642" t="s">
        <v>597</v>
      </c>
      <c r="U12" s="653">
        <v>108.87</v>
      </c>
      <c r="V12" s="649">
        <v>4.9240000000000006E-2</v>
      </c>
      <c r="W12" s="710">
        <v>0</v>
      </c>
      <c r="X12" s="653">
        <v>336.95</v>
      </c>
      <c r="Y12" s="652">
        <v>3.46</v>
      </c>
    </row>
    <row r="13" spans="4:25" ht="33.6" customHeight="1">
      <c r="E13" s="698">
        <v>37677</v>
      </c>
      <c r="F13" s="636"/>
      <c r="G13" s="707">
        <v>44950</v>
      </c>
      <c r="H13" s="708">
        <v>348.5</v>
      </c>
      <c r="I13" s="642">
        <v>20</v>
      </c>
      <c r="J13" s="649">
        <v>7.7499999999999999E-2</v>
      </c>
      <c r="K13" s="649">
        <v>3.7999999999999999E-2</v>
      </c>
      <c r="L13" s="642" t="s">
        <v>604</v>
      </c>
      <c r="M13" s="648">
        <v>1160</v>
      </c>
      <c r="N13" s="648">
        <f t="shared" si="0"/>
        <v>3.3285509325681493</v>
      </c>
      <c r="O13" s="653">
        <f>1.0275 * 100</f>
        <v>102.75000000000001</v>
      </c>
      <c r="P13" s="653">
        <f>(10642.0658703528%/100)*100</f>
        <v>106.42065870352802</v>
      </c>
      <c r="Q13" s="653">
        <f t="shared" si="1"/>
        <v>12.792245581795099</v>
      </c>
      <c r="R13" s="642" t="s">
        <v>603</v>
      </c>
      <c r="S13" s="642" t="s">
        <v>597</v>
      </c>
      <c r="T13" s="642" t="s">
        <v>597</v>
      </c>
      <c r="U13" s="653">
        <v>108.87</v>
      </c>
      <c r="V13" s="649">
        <v>4.9240000000000006E-2</v>
      </c>
      <c r="W13" s="710">
        <v>0</v>
      </c>
      <c r="X13" s="653">
        <v>336.95</v>
      </c>
      <c r="Y13" s="652">
        <v>3.46</v>
      </c>
    </row>
    <row r="14" spans="4:25" ht="33.6" customHeight="1">
      <c r="E14" s="698">
        <v>38244</v>
      </c>
      <c r="F14" s="636"/>
      <c r="G14" s="707">
        <v>49208</v>
      </c>
      <c r="H14" s="708">
        <v>286.45800000000003</v>
      </c>
      <c r="I14" s="642">
        <v>30</v>
      </c>
      <c r="J14" s="649">
        <v>7.6249999999999998E-2</v>
      </c>
      <c r="K14" s="649">
        <v>4.1329999999999999E-2</v>
      </c>
      <c r="L14" s="642" t="s">
        <v>608</v>
      </c>
      <c r="M14" s="648">
        <v>2649</v>
      </c>
      <c r="N14" s="648">
        <f t="shared" si="0"/>
        <v>9.2474289424627685</v>
      </c>
      <c r="O14" s="653">
        <f>1 * 100</f>
        <v>100</v>
      </c>
      <c r="P14" s="653">
        <f>(10669.1487639006%/100)*100</f>
        <v>106.69148763900603</v>
      </c>
      <c r="Q14" s="653">
        <f t="shared" si="1"/>
        <v>19.168301660943886</v>
      </c>
      <c r="R14" s="642" t="s">
        <v>603</v>
      </c>
      <c r="S14" s="642" t="s">
        <v>597</v>
      </c>
      <c r="T14" s="642" t="s">
        <v>597</v>
      </c>
      <c r="U14" s="653">
        <v>104.88</v>
      </c>
      <c r="V14" s="649">
        <v>7.0929999999999993E-2</v>
      </c>
      <c r="W14" s="710">
        <v>0</v>
      </c>
      <c r="X14" s="653">
        <v>522.76</v>
      </c>
      <c r="Y14" s="652">
        <v>15.12</v>
      </c>
    </row>
    <row r="15" spans="4:25" ht="33.6" customHeight="1">
      <c r="E15" s="698">
        <v>38504</v>
      </c>
      <c r="F15" s="636"/>
      <c r="G15" s="707">
        <v>49475</v>
      </c>
      <c r="H15" s="708">
        <v>375</v>
      </c>
      <c r="I15" s="642">
        <v>30</v>
      </c>
      <c r="J15" s="649">
        <v>7.6499999999999999E-2</v>
      </c>
      <c r="K15" s="649">
        <v>4.2450000000000002E-2</v>
      </c>
      <c r="L15" s="642" t="s">
        <v>609</v>
      </c>
      <c r="M15" s="648">
        <v>800</v>
      </c>
      <c r="N15" s="648">
        <f t="shared" si="0"/>
        <v>2.1333333333333333</v>
      </c>
      <c r="O15" s="653">
        <f>0.99474 * 100</f>
        <v>99.47399999999999</v>
      </c>
      <c r="P15" s="653">
        <f>(10273.6883394%/100)*100</f>
        <v>102.736883394</v>
      </c>
      <c r="Q15" s="653">
        <f t="shared" si="1"/>
        <v>12.235812727500052</v>
      </c>
      <c r="R15" s="642" t="s">
        <v>603</v>
      </c>
      <c r="S15" s="642" t="s">
        <v>597</v>
      </c>
      <c r="T15" s="642" t="s">
        <v>597</v>
      </c>
      <c r="U15" s="653">
        <v>106.19000000000001</v>
      </c>
      <c r="V15" s="649">
        <v>6.9960000000000008E-2</v>
      </c>
      <c r="W15" s="710">
        <v>0</v>
      </c>
      <c r="X15" s="653">
        <v>511.43</v>
      </c>
      <c r="Y15" s="652">
        <v>15.85</v>
      </c>
    </row>
    <row r="16" spans="4:25" ht="33.6" customHeight="1">
      <c r="E16" s="698">
        <v>38826</v>
      </c>
      <c r="F16" s="635" t="s">
        <v>711</v>
      </c>
      <c r="G16" s="707">
        <v>49475</v>
      </c>
      <c r="H16" s="708">
        <v>400</v>
      </c>
      <c r="I16" s="642">
        <v>30</v>
      </c>
      <c r="J16" s="649">
        <v>7.6499999999999999E-2</v>
      </c>
      <c r="K16" s="649">
        <v>5.2359999999999997E-2</v>
      </c>
      <c r="L16" s="642" t="s">
        <v>610</v>
      </c>
      <c r="M16" s="648">
        <v>1071.2</v>
      </c>
      <c r="N16" s="648">
        <f t="shared" si="0"/>
        <v>2.6779999999999999</v>
      </c>
      <c r="O16" s="653">
        <f>1.00148 * 100</f>
        <v>100.148</v>
      </c>
      <c r="P16" s="653">
        <f>(10273.6883394%/100)*100</f>
        <v>102.736883394</v>
      </c>
      <c r="Q16" s="653">
        <f t="shared" si="1"/>
        <v>10.355533576000028</v>
      </c>
      <c r="R16" s="642" t="s">
        <v>603</v>
      </c>
      <c r="S16" s="642" t="s">
        <v>597</v>
      </c>
      <c r="T16" s="642" t="s">
        <v>597</v>
      </c>
      <c r="U16" s="653">
        <v>106.19000000000001</v>
      </c>
      <c r="V16" s="649">
        <v>6.9960000000000008E-2</v>
      </c>
      <c r="W16" s="710">
        <v>0</v>
      </c>
      <c r="X16" s="653">
        <v>511.43</v>
      </c>
      <c r="Y16" s="652">
        <v>15.85</v>
      </c>
    </row>
    <row r="17" spans="3:25" ht="33.6" customHeight="1">
      <c r="E17" s="698">
        <v>38911</v>
      </c>
      <c r="F17" s="636"/>
      <c r="G17" s="707">
        <v>49475</v>
      </c>
      <c r="H17" s="708">
        <v>225</v>
      </c>
      <c r="I17" s="642">
        <v>30</v>
      </c>
      <c r="J17" s="649">
        <v>7.6499999999999999E-2</v>
      </c>
      <c r="K17" s="649">
        <v>5.1909999999999998E-2</v>
      </c>
      <c r="L17" s="642" t="s">
        <v>611</v>
      </c>
      <c r="M17" s="648">
        <v>1000</v>
      </c>
      <c r="N17" s="648">
        <f t="shared" si="0"/>
        <v>4.4444444444444446</v>
      </c>
      <c r="O17" s="653">
        <f>0.9671 * 100</f>
        <v>96.71</v>
      </c>
      <c r="P17" s="653">
        <f>(10273.6883394%/100)*100</f>
        <v>102.736883394</v>
      </c>
      <c r="Q17" s="653">
        <f t="shared" si="1"/>
        <v>13.560487636500021</v>
      </c>
      <c r="R17" s="642" t="s">
        <v>603</v>
      </c>
      <c r="S17" s="642" t="s">
        <v>597</v>
      </c>
      <c r="T17" s="642" t="s">
        <v>597</v>
      </c>
      <c r="U17" s="653">
        <v>106.19000000000001</v>
      </c>
      <c r="V17" s="649">
        <v>6.9960000000000008E-2</v>
      </c>
      <c r="W17" s="710">
        <v>0</v>
      </c>
      <c r="X17" s="653">
        <v>511.43</v>
      </c>
      <c r="Y17" s="652">
        <v>15.85</v>
      </c>
    </row>
    <row r="18" spans="3:25" ht="33.6" customHeight="1">
      <c r="E18" s="698">
        <v>40137</v>
      </c>
      <c r="F18" s="636"/>
      <c r="G18" s="707">
        <v>43800</v>
      </c>
      <c r="H18" s="708">
        <v>800</v>
      </c>
      <c r="I18" s="642">
        <v>10</v>
      </c>
      <c r="J18" s="649">
        <v>7.3749999999999996E-2</v>
      </c>
      <c r="K18" s="649">
        <v>3.3450000000000001E-2</v>
      </c>
      <c r="L18" s="642" t="s">
        <v>598</v>
      </c>
      <c r="M18" s="648">
        <v>3500</v>
      </c>
      <c r="N18" s="648">
        <f t="shared" si="0"/>
        <v>4.375</v>
      </c>
      <c r="O18" s="653">
        <f t="shared" ref="O18:O22" si="2">1*100</f>
        <v>100</v>
      </c>
      <c r="P18" s="653">
        <f>(10000%/100)*100</f>
        <v>100</v>
      </c>
      <c r="Q18" s="653">
        <f t="shared" si="1"/>
        <v>0</v>
      </c>
      <c r="R18" s="642" t="s">
        <v>599</v>
      </c>
      <c r="S18" s="642" t="s">
        <v>600</v>
      </c>
      <c r="T18" s="642" t="s">
        <v>601</v>
      </c>
      <c r="U18" s="653">
        <v>100.85</v>
      </c>
      <c r="V18" s="649">
        <v>4.4249999999999998E-2</v>
      </c>
      <c r="W18" s="710">
        <v>0</v>
      </c>
      <c r="X18" s="653">
        <v>163.92</v>
      </c>
      <c r="Y18" s="652">
        <v>0.31</v>
      </c>
    </row>
    <row r="19" spans="3:25" ht="33.6" customHeight="1">
      <c r="E19" s="698">
        <v>40568</v>
      </c>
      <c r="F19" s="636"/>
      <c r="G19" s="707">
        <v>51533</v>
      </c>
      <c r="H19" s="708">
        <v>653.5</v>
      </c>
      <c r="I19" s="642">
        <v>30</v>
      </c>
      <c r="J19" s="649">
        <v>7.6249999999999998E-2</v>
      </c>
      <c r="K19" s="649">
        <v>4.4940000000000001E-2</v>
      </c>
      <c r="L19" s="642">
        <v>313</v>
      </c>
      <c r="M19" s="648">
        <v>1618.9</v>
      </c>
      <c r="N19" s="648">
        <f t="shared" si="0"/>
        <v>2.4772762050497326</v>
      </c>
      <c r="O19" s="653">
        <f t="shared" si="2"/>
        <v>100</v>
      </c>
      <c r="P19" s="653">
        <f>(10000%/100)*100</f>
        <v>100</v>
      </c>
      <c r="Q19" s="653">
        <f t="shared" si="1"/>
        <v>0</v>
      </c>
      <c r="R19" s="642" t="s">
        <v>599</v>
      </c>
      <c r="S19" s="642" t="s">
        <v>600</v>
      </c>
      <c r="T19" s="642" t="s">
        <v>606</v>
      </c>
      <c r="U19" s="653">
        <v>105.91</v>
      </c>
      <c r="V19" s="649">
        <v>7.0849999999999996E-2</v>
      </c>
      <c r="W19" s="710">
        <v>0</v>
      </c>
      <c r="X19" s="653">
        <v>506.68</v>
      </c>
      <c r="Y19" s="652">
        <v>21.48</v>
      </c>
    </row>
    <row r="20" spans="3:25" ht="33.6" customHeight="1">
      <c r="E20" s="698">
        <v>41248</v>
      </c>
      <c r="F20" s="636"/>
      <c r="G20" s="707">
        <v>45687</v>
      </c>
      <c r="H20" s="708">
        <v>800</v>
      </c>
      <c r="I20" s="642">
        <v>12</v>
      </c>
      <c r="J20" s="649">
        <v>5.8749999999999997E-2</v>
      </c>
      <c r="K20" s="649">
        <v>1.635E-2</v>
      </c>
      <c r="L20" s="642">
        <v>424</v>
      </c>
      <c r="M20" s="648">
        <v>5102.3599999999997</v>
      </c>
      <c r="N20" s="648">
        <f t="shared" si="0"/>
        <v>6.3779499999999993</v>
      </c>
      <c r="O20" s="653">
        <f t="shared" si="2"/>
        <v>100</v>
      </c>
      <c r="P20" s="653">
        <f>(9998.4%/100)*100</f>
        <v>99.983999999999995</v>
      </c>
      <c r="Q20" s="653">
        <f t="shared" si="1"/>
        <v>-0.12800000000004275</v>
      </c>
      <c r="R20" s="642" t="s">
        <v>605</v>
      </c>
      <c r="S20" s="642" t="s">
        <v>600</v>
      </c>
      <c r="T20" s="642" t="s">
        <v>606</v>
      </c>
      <c r="U20" s="653">
        <v>101.44</v>
      </c>
      <c r="V20" s="649">
        <v>5.5660000000000001E-2</v>
      </c>
      <c r="W20" s="710">
        <v>0</v>
      </c>
      <c r="X20" s="653">
        <v>393.55</v>
      </c>
      <c r="Y20" s="652">
        <v>5.48</v>
      </c>
    </row>
    <row r="21" spans="3:25" ht="33.6" customHeight="1">
      <c r="E21" s="698">
        <v>41900</v>
      </c>
      <c r="F21" s="636"/>
      <c r="G21" s="707">
        <v>46405</v>
      </c>
      <c r="H21" s="708">
        <v>800</v>
      </c>
      <c r="I21" s="642">
        <v>12</v>
      </c>
      <c r="J21" s="649">
        <v>6.3750000000000001E-2</v>
      </c>
      <c r="K21" s="649">
        <v>2.53E-2</v>
      </c>
      <c r="L21" s="642">
        <v>384.5</v>
      </c>
      <c r="M21" s="648">
        <v>4685</v>
      </c>
      <c r="N21" s="648">
        <f t="shared" si="0"/>
        <v>5.8562500000000002</v>
      </c>
      <c r="O21" s="653">
        <f t="shared" si="2"/>
        <v>100</v>
      </c>
      <c r="P21" s="653">
        <f>(10000%/100)*100</f>
        <v>100</v>
      </c>
      <c r="Q21" s="653">
        <f t="shared" ref="Q21:Q23" si="3">((+P21-O21)*H21)/100</f>
        <v>0</v>
      </c>
      <c r="R21" s="642" t="s">
        <v>605</v>
      </c>
      <c r="S21" s="642" t="s">
        <v>606</v>
      </c>
      <c r="T21" s="642" t="s">
        <v>606</v>
      </c>
      <c r="U21" s="653">
        <v>101.97</v>
      </c>
      <c r="V21" s="649">
        <v>6.0410000000000005E-2</v>
      </c>
      <c r="W21" s="710">
        <v>0</v>
      </c>
      <c r="X21" s="653">
        <v>442.2</v>
      </c>
      <c r="Y21" s="652">
        <v>7.44</v>
      </c>
    </row>
    <row r="22" spans="3:25" ht="33.6" customHeight="1">
      <c r="E22" s="698">
        <v>42794</v>
      </c>
      <c r="F22" s="636"/>
      <c r="G22" s="707">
        <v>47177</v>
      </c>
      <c r="H22" s="708">
        <v>601.08500000000004</v>
      </c>
      <c r="I22" s="642">
        <v>12</v>
      </c>
      <c r="J22" s="649">
        <v>8.6249999999999993E-2</v>
      </c>
      <c r="K22" s="649">
        <v>2.4E-2</v>
      </c>
      <c r="L22" s="642">
        <v>619.6</v>
      </c>
      <c r="M22" s="648">
        <v>3331.694</v>
      </c>
      <c r="N22" s="648">
        <f t="shared" si="0"/>
        <v>5.542800103146809</v>
      </c>
      <c r="O22" s="653">
        <f t="shared" si="2"/>
        <v>100</v>
      </c>
      <c r="P22" s="653">
        <f>(10000%/100)*100</f>
        <v>100</v>
      </c>
      <c r="Q22" s="653">
        <f t="shared" si="3"/>
        <v>0</v>
      </c>
      <c r="R22" s="642" t="s">
        <v>650</v>
      </c>
      <c r="S22" s="642" t="s">
        <v>651</v>
      </c>
      <c r="T22" s="642" t="s">
        <v>652</v>
      </c>
      <c r="U22" s="653">
        <v>115.16999999999999</v>
      </c>
      <c r="V22" s="649">
        <v>6.4689999999999998E-2</v>
      </c>
      <c r="W22" s="710">
        <v>0</v>
      </c>
      <c r="X22" s="653">
        <v>474.44</v>
      </c>
      <c r="Y22" s="652">
        <v>9.56</v>
      </c>
    </row>
    <row r="23" spans="3:25" ht="33.6" customHeight="1">
      <c r="E23" s="698">
        <v>43676</v>
      </c>
      <c r="F23" s="636"/>
      <c r="G23" s="711">
        <v>54808</v>
      </c>
      <c r="H23" s="712">
        <v>1097</v>
      </c>
      <c r="I23" s="643">
        <v>30</v>
      </c>
      <c r="J23" s="756">
        <v>7.1246000000000004E-2</v>
      </c>
      <c r="K23" s="713">
        <v>2.58E-2</v>
      </c>
      <c r="L23" s="643">
        <v>454.46</v>
      </c>
      <c r="M23" s="650">
        <v>5284</v>
      </c>
      <c r="N23" s="650">
        <f>M23/H23</f>
        <v>4.8167730173199637</v>
      </c>
      <c r="O23" s="654">
        <f>1*100</f>
        <v>100</v>
      </c>
      <c r="P23" s="654">
        <f>(10000%/100)*100</f>
        <v>100</v>
      </c>
      <c r="Q23" s="654">
        <f t="shared" si="3"/>
        <v>0</v>
      </c>
      <c r="R23" s="643" t="s">
        <v>650</v>
      </c>
      <c r="S23" s="643" t="s">
        <v>651</v>
      </c>
      <c r="T23" s="643" t="s">
        <v>651</v>
      </c>
      <c r="U23" s="654">
        <v>101.02</v>
      </c>
      <c r="V23" s="713">
        <v>7.0430000000000006E-2</v>
      </c>
      <c r="W23" s="714"/>
      <c r="X23" s="654">
        <v>482.59</v>
      </c>
      <c r="Y23" s="652">
        <v>30.45</v>
      </c>
    </row>
    <row r="24" spans="3:25" ht="33.6" customHeight="1">
      <c r="E24" s="718" t="s">
        <v>121</v>
      </c>
      <c r="F24" s="717"/>
      <c r="G24" s="700"/>
      <c r="H24" s="701">
        <f>SUM(H11:H23)</f>
        <v>7338.0430000000006</v>
      </c>
      <c r="I24" s="700"/>
      <c r="J24" s="700"/>
      <c r="K24" s="700"/>
      <c r="L24" s="700"/>
      <c r="M24" s="700"/>
      <c r="N24" s="700"/>
      <c r="O24" s="700"/>
      <c r="P24" s="700"/>
      <c r="Q24" s="702">
        <f>SUM(Q11:Q23)</f>
        <v>114.46340734221309</v>
      </c>
      <c r="R24" s="700"/>
      <c r="S24" s="700"/>
      <c r="T24" s="700"/>
      <c r="U24" s="700"/>
      <c r="V24" s="700"/>
      <c r="W24" s="700"/>
      <c r="X24" s="700"/>
      <c r="Y24" s="700"/>
    </row>
    <row r="25" spans="3:25" ht="33.6" customHeight="1">
      <c r="E25" s="637" t="s">
        <v>712</v>
      </c>
      <c r="F25" s="719" t="s">
        <v>713</v>
      </c>
      <c r="G25" s="635">
        <v>2013</v>
      </c>
      <c r="H25" s="636"/>
      <c r="I25" s="636"/>
      <c r="J25" s="636"/>
      <c r="K25" s="636"/>
      <c r="L25" s="636"/>
      <c r="M25" s="636"/>
      <c r="N25" s="636"/>
      <c r="O25" s="636"/>
      <c r="P25" s="636"/>
      <c r="Q25" s="636"/>
      <c r="R25" s="636"/>
      <c r="S25" s="636"/>
      <c r="T25" s="636"/>
      <c r="U25" s="636"/>
      <c r="V25" s="716"/>
      <c r="W25" s="636"/>
      <c r="X25" s="636"/>
      <c r="Y25" s="651"/>
    </row>
    <row r="26" spans="3:25" ht="33.6" customHeight="1">
      <c r="E26" s="637" t="s">
        <v>714</v>
      </c>
      <c r="F26" s="757" t="s">
        <v>713</v>
      </c>
      <c r="G26" s="635">
        <v>2019</v>
      </c>
      <c r="H26" s="636"/>
      <c r="I26" s="636"/>
      <c r="J26" s="636"/>
      <c r="K26" s="636"/>
      <c r="L26" s="636"/>
      <c r="M26" s="636"/>
      <c r="N26" s="636"/>
      <c r="O26" s="636"/>
      <c r="P26" s="636"/>
      <c r="Q26" s="636"/>
      <c r="R26" s="636"/>
      <c r="S26" s="636"/>
      <c r="T26" s="636"/>
      <c r="U26" s="636"/>
      <c r="V26" s="651"/>
      <c r="W26" s="636"/>
      <c r="X26" s="636"/>
      <c r="Y26" s="651"/>
    </row>
    <row r="27" spans="3:25" ht="33.6" customHeight="1">
      <c r="E27" s="638" t="s">
        <v>836</v>
      </c>
      <c r="F27" s="758" t="s">
        <v>838</v>
      </c>
      <c r="G27" s="639">
        <v>2050</v>
      </c>
      <c r="H27" s="640"/>
      <c r="I27" s="640"/>
      <c r="J27" s="640"/>
      <c r="K27" s="640"/>
      <c r="L27" s="640"/>
      <c r="M27" s="640"/>
      <c r="N27" s="640"/>
      <c r="O27" s="640"/>
      <c r="P27" s="640"/>
      <c r="Q27" s="640"/>
      <c r="R27" s="640"/>
      <c r="S27" s="640"/>
      <c r="T27" s="640"/>
      <c r="U27" s="640"/>
      <c r="V27" s="699"/>
      <c r="W27" s="640"/>
      <c r="X27" s="640"/>
      <c r="Y27" s="699"/>
    </row>
    <row r="28" spans="3:25" ht="35.25" customHeight="1">
      <c r="E28" s="839" t="s">
        <v>731</v>
      </c>
      <c r="F28" s="839"/>
      <c r="G28" s="839"/>
      <c r="H28" s="839"/>
      <c r="I28" s="839"/>
      <c r="J28" s="839"/>
      <c r="K28" s="839"/>
      <c r="L28" s="839"/>
      <c r="M28" s="839"/>
      <c r="N28" s="839"/>
      <c r="O28" s="839"/>
      <c r="P28" s="839"/>
      <c r="Q28" s="839"/>
      <c r="R28" s="839"/>
      <c r="S28" s="839"/>
      <c r="T28" s="839"/>
      <c r="U28" s="839"/>
      <c r="V28" s="839"/>
    </row>
    <row r="29" spans="3:25" ht="33" customHeight="1">
      <c r="E29" s="720" t="s">
        <v>612</v>
      </c>
    </row>
    <row r="30" spans="3:25" ht="33" customHeight="1">
      <c r="E30" s="836" t="s">
        <v>732</v>
      </c>
      <c r="F30" s="836"/>
      <c r="G30" s="836"/>
      <c r="H30" s="836"/>
      <c r="I30" s="836"/>
      <c r="J30" s="836"/>
      <c r="K30" s="836"/>
      <c r="L30" s="836"/>
      <c r="M30" s="836"/>
      <c r="N30" s="836"/>
      <c r="O30" s="836"/>
      <c r="P30" s="836"/>
      <c r="Q30" s="836"/>
      <c r="R30" s="836"/>
      <c r="S30" s="836"/>
      <c r="T30" s="836"/>
      <c r="U30" s="836"/>
      <c r="V30" s="836"/>
    </row>
    <row r="31" spans="3:25" ht="33" customHeight="1">
      <c r="E31" s="836" t="s">
        <v>717</v>
      </c>
      <c r="F31" s="836"/>
      <c r="G31" s="836"/>
      <c r="H31" s="836"/>
      <c r="I31" s="836"/>
      <c r="J31" s="836"/>
      <c r="K31" s="836"/>
      <c r="L31" s="836"/>
      <c r="M31" s="836"/>
      <c r="N31" s="836"/>
      <c r="O31" s="836"/>
      <c r="P31" s="836"/>
      <c r="Q31" s="836"/>
      <c r="R31" s="836"/>
      <c r="S31" s="836"/>
      <c r="T31" s="836"/>
      <c r="U31" s="836"/>
      <c r="V31" s="836"/>
    </row>
    <row r="32" spans="3:25" ht="33" hidden="1" customHeight="1">
      <c r="C32" s="697"/>
      <c r="D32" s="697"/>
      <c r="E32" s="695" t="s">
        <v>653</v>
      </c>
    </row>
    <row r="33" spans="3:22" ht="60" customHeight="1">
      <c r="C33" s="715"/>
      <c r="D33" s="715"/>
      <c r="E33" s="836" t="s">
        <v>837</v>
      </c>
      <c r="F33" s="836"/>
      <c r="G33" s="836"/>
      <c r="H33" s="836"/>
      <c r="I33" s="836"/>
      <c r="J33" s="836"/>
      <c r="K33" s="836"/>
      <c r="L33" s="836"/>
      <c r="M33" s="836"/>
      <c r="N33" s="836"/>
      <c r="O33" s="836"/>
      <c r="P33" s="836"/>
      <c r="Q33" s="836"/>
      <c r="R33" s="836"/>
      <c r="S33" s="836"/>
      <c r="T33" s="836"/>
      <c r="U33" s="836"/>
      <c r="V33" s="836"/>
    </row>
    <row r="34" spans="3:22" ht="33" customHeight="1">
      <c r="C34" s="715"/>
      <c r="D34" s="715"/>
      <c r="E34" s="836" t="s">
        <v>654</v>
      </c>
      <c r="F34" s="836"/>
      <c r="G34" s="836"/>
      <c r="H34" s="836"/>
      <c r="I34" s="836"/>
      <c r="J34" s="836"/>
      <c r="K34" s="836"/>
      <c r="L34" s="836"/>
      <c r="M34" s="836"/>
      <c r="N34" s="836"/>
      <c r="O34" s="836"/>
      <c r="P34" s="836"/>
      <c r="Q34" s="836"/>
      <c r="R34" s="836"/>
      <c r="S34" s="836"/>
      <c r="T34" s="836"/>
      <c r="U34" s="836"/>
      <c r="V34" s="836"/>
    </row>
    <row r="35" spans="3:22" ht="33" customHeight="1">
      <c r="C35" s="715"/>
      <c r="D35" s="715"/>
      <c r="E35" s="836" t="s">
        <v>655</v>
      </c>
      <c r="F35" s="836"/>
      <c r="G35" s="836"/>
      <c r="H35" s="836"/>
      <c r="I35" s="836"/>
      <c r="J35" s="836"/>
      <c r="K35" s="836"/>
      <c r="L35" s="836"/>
      <c r="M35" s="836"/>
      <c r="N35" s="836"/>
      <c r="O35" s="836"/>
      <c r="P35" s="836"/>
      <c r="Q35" s="836"/>
      <c r="R35" s="836"/>
      <c r="S35" s="836"/>
      <c r="T35" s="836"/>
      <c r="U35" s="836"/>
      <c r="V35" s="836"/>
    </row>
    <row r="36" spans="3:22" ht="33" hidden="1" customHeight="1">
      <c r="C36" s="697"/>
      <c r="D36" s="697"/>
      <c r="E36" s="836" t="s">
        <v>613</v>
      </c>
      <c r="F36" s="836"/>
      <c r="G36" s="836"/>
      <c r="H36" s="836"/>
      <c r="I36" s="836"/>
      <c r="J36" s="836"/>
      <c r="K36" s="836"/>
      <c r="L36" s="836"/>
      <c r="M36" s="836"/>
      <c r="N36" s="836"/>
      <c r="O36" s="836"/>
      <c r="P36" s="836"/>
      <c r="Q36" s="836"/>
      <c r="R36" s="836"/>
      <c r="S36" s="836"/>
      <c r="T36" s="836"/>
      <c r="U36" s="836"/>
      <c r="V36" s="836"/>
    </row>
    <row r="37" spans="3:22" ht="30" hidden="1" customHeight="1">
      <c r="C37" s="697"/>
      <c r="D37" s="697"/>
      <c r="E37" s="695" t="s">
        <v>715</v>
      </c>
    </row>
    <row r="38" spans="3:22" ht="30" hidden="1" customHeight="1">
      <c r="C38" s="697"/>
      <c r="D38" s="697"/>
      <c r="E38" s="695" t="s">
        <v>716</v>
      </c>
    </row>
    <row r="39" spans="3:22" ht="45" customHeight="1">
      <c r="D39" s="715"/>
      <c r="E39" s="836" t="s">
        <v>846</v>
      </c>
      <c r="F39" s="836"/>
      <c r="G39" s="836"/>
      <c r="H39" s="836"/>
      <c r="I39" s="836"/>
      <c r="J39" s="836"/>
      <c r="K39" s="836"/>
      <c r="L39" s="836"/>
      <c r="M39" s="836"/>
      <c r="N39" s="836"/>
      <c r="O39" s="836"/>
      <c r="P39" s="836"/>
      <c r="Q39" s="836"/>
      <c r="R39" s="836"/>
      <c r="S39" s="836"/>
      <c r="T39" s="836"/>
      <c r="U39" s="836"/>
      <c r="V39" s="836"/>
    </row>
  </sheetData>
  <mergeCells count="26">
    <mergeCell ref="Y5:Y6"/>
    <mergeCell ref="E28:V28"/>
    <mergeCell ref="E30:V30"/>
    <mergeCell ref="E31:V31"/>
    <mergeCell ref="Q5:Q6"/>
    <mergeCell ref="R5:T5"/>
    <mergeCell ref="U5:U6"/>
    <mergeCell ref="V5:V6"/>
    <mergeCell ref="W5:W6"/>
    <mergeCell ref="M5:M6"/>
    <mergeCell ref="N5:N6"/>
    <mergeCell ref="O5:O6"/>
    <mergeCell ref="P5:P6"/>
    <mergeCell ref="L5:L6"/>
    <mergeCell ref="E5:F6"/>
    <mergeCell ref="G5:G6"/>
    <mergeCell ref="X5:X6"/>
    <mergeCell ref="H5:H6"/>
    <mergeCell ref="I5:I6"/>
    <mergeCell ref="J5:J6"/>
    <mergeCell ref="K5:K6"/>
    <mergeCell ref="E39:V39"/>
    <mergeCell ref="E33:V33"/>
    <mergeCell ref="E34:V34"/>
    <mergeCell ref="E35:V35"/>
    <mergeCell ref="E36:V36"/>
  </mergeCells>
  <printOptions horizontalCentered="1"/>
  <pageMargins left="0.7" right="0.7" top="0.75" bottom="0.75" header="0.3" footer="0.3"/>
  <pageSetup scale="42" orientation="landscape" r:id="rId1"/>
  <ignoredErrors>
    <ignoredError sqref="H24" formulaRange="1"/>
    <ignoredError sqref="L10:L18 L9" numberStoredAsText="1"/>
    <ignoredError sqref="P2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AE43"/>
  <sheetViews>
    <sheetView workbookViewId="0">
      <pane xSplit="2" ySplit="5" topLeftCell="V6" activePane="bottomRight" state="frozen"/>
      <selection pane="topRight" activeCell="C1" sqref="C1"/>
      <selection pane="bottomLeft" activeCell="A6" sqref="A6"/>
      <selection pane="bottomRight" activeCell="AG14" sqref="AG14"/>
    </sheetView>
  </sheetViews>
  <sheetFormatPr baseColWidth="10" defaultRowHeight="15"/>
  <cols>
    <col min="2" max="2" width="18" customWidth="1"/>
    <col min="3" max="30" width="9.7109375" customWidth="1"/>
  </cols>
  <sheetData>
    <row r="2" spans="2:31">
      <c r="B2" s="219" t="s">
        <v>776</v>
      </c>
    </row>
    <row r="5" spans="2:31">
      <c r="C5" s="601">
        <v>1991</v>
      </c>
      <c r="D5" s="601">
        <v>1992</v>
      </c>
      <c r="E5" s="601">
        <v>1993</v>
      </c>
      <c r="F5" s="601">
        <v>1994</v>
      </c>
      <c r="G5" s="601">
        <v>1995</v>
      </c>
      <c r="H5" s="601">
        <v>1996</v>
      </c>
      <c r="I5" s="601">
        <v>1997</v>
      </c>
      <c r="J5" s="601">
        <v>1998</v>
      </c>
      <c r="K5" s="601">
        <v>1999</v>
      </c>
      <c r="L5" s="601">
        <v>2000</v>
      </c>
      <c r="M5" s="601">
        <v>2001</v>
      </c>
      <c r="N5" s="601">
        <v>2002</v>
      </c>
      <c r="O5" s="601">
        <v>2003</v>
      </c>
      <c r="P5" s="601">
        <v>2004</v>
      </c>
      <c r="Q5" s="601">
        <v>2005</v>
      </c>
      <c r="R5" s="601">
        <v>2006</v>
      </c>
      <c r="S5" s="601">
        <v>2007</v>
      </c>
      <c r="T5" s="601">
        <v>2008</v>
      </c>
      <c r="U5" s="601">
        <v>2009</v>
      </c>
      <c r="V5" s="601">
        <v>2010</v>
      </c>
      <c r="W5" s="601">
        <v>2011</v>
      </c>
      <c r="X5" s="601">
        <v>2012</v>
      </c>
      <c r="Y5" s="601">
        <v>2013</v>
      </c>
      <c r="Z5" s="601">
        <v>2014</v>
      </c>
      <c r="AA5" s="601">
        <v>2015</v>
      </c>
      <c r="AB5" s="601">
        <v>2016</v>
      </c>
      <c r="AC5" s="601">
        <v>2017</v>
      </c>
      <c r="AD5" s="601">
        <v>2018</v>
      </c>
      <c r="AE5" s="601" t="s">
        <v>773</v>
      </c>
    </row>
    <row r="6" spans="2:31">
      <c r="B6" t="s">
        <v>672</v>
      </c>
      <c r="C6" s="23">
        <v>-18.899999999999999</v>
      </c>
      <c r="D6" s="23">
        <v>-150.19999999999999</v>
      </c>
      <c r="E6" s="23">
        <v>-271.8</v>
      </c>
      <c r="F6" s="23">
        <v>-112</v>
      </c>
      <c r="G6" s="23">
        <v>-46.5</v>
      </c>
      <c r="H6" s="23">
        <v>-13.2</v>
      </c>
      <c r="I6" s="23">
        <v>-257</v>
      </c>
      <c r="J6" s="23">
        <v>-197</v>
      </c>
      <c r="K6" s="23">
        <v>-315.8</v>
      </c>
      <c r="L6" s="23">
        <v>-398.5</v>
      </c>
      <c r="M6" s="23">
        <v>-605.70000000000005</v>
      </c>
      <c r="N6" s="23">
        <v>-632.4</v>
      </c>
      <c r="O6" s="23">
        <v>-560</v>
      </c>
      <c r="P6" s="23">
        <v>-379.3</v>
      </c>
      <c r="Q6" s="23">
        <v>-507.8</v>
      </c>
      <c r="R6" s="23">
        <v>-545.6</v>
      </c>
      <c r="S6" s="23">
        <v>-395.1</v>
      </c>
      <c r="T6" s="23">
        <v>-683.5</v>
      </c>
      <c r="U6" s="23">
        <v>-640.2388424800007</v>
      </c>
      <c r="V6" s="23">
        <v>-409.07770048099951</v>
      </c>
      <c r="W6" s="23">
        <v>-388.70951246000106</v>
      </c>
      <c r="X6" s="23">
        <v>-277.43850866799949</v>
      </c>
      <c r="Y6" s="23">
        <v>-385.6228478631989</v>
      </c>
      <c r="Z6" s="23">
        <v>-296.59663588700153</v>
      </c>
      <c r="AA6" s="23">
        <v>-211.46012970218123</v>
      </c>
      <c r="AB6" s="23">
        <v>-45.027127454319157</v>
      </c>
      <c r="AC6" s="23">
        <v>167.57031401399991</v>
      </c>
      <c r="AD6" s="23">
        <v>229.63279971126997</v>
      </c>
      <c r="AE6" s="684">
        <v>411.5488655924994</v>
      </c>
    </row>
    <row r="7" spans="2:31">
      <c r="B7" t="s">
        <v>674</v>
      </c>
      <c r="C7" s="23"/>
      <c r="D7" s="23"/>
      <c r="E7" s="23"/>
      <c r="F7" s="23"/>
      <c r="G7" s="23"/>
      <c r="H7" s="23"/>
      <c r="I7" s="23"/>
      <c r="J7" s="23"/>
      <c r="K7" s="23"/>
      <c r="L7" s="23"/>
      <c r="M7" s="23">
        <f>M6+M13</f>
        <v>-503.00000000000006</v>
      </c>
      <c r="N7" s="23">
        <f t="shared" ref="N7:X7" si="0">N6+N13</f>
        <v>-475</v>
      </c>
      <c r="O7" s="23">
        <f t="shared" si="0"/>
        <v>-310.3</v>
      </c>
      <c r="P7" s="23">
        <f t="shared" si="0"/>
        <v>-102.80000000000001</v>
      </c>
      <c r="Q7" s="23">
        <f t="shared" si="0"/>
        <v>-180.7</v>
      </c>
      <c r="R7" s="23">
        <f t="shared" si="0"/>
        <v>-196.2</v>
      </c>
      <c r="S7" s="23">
        <f t="shared" si="0"/>
        <v>-75.800000000000011</v>
      </c>
      <c r="T7" s="23">
        <f t="shared" si="0"/>
        <v>-362.8</v>
      </c>
      <c r="U7" s="23">
        <f t="shared" si="0"/>
        <v>-294.2388424800007</v>
      </c>
      <c r="V7" s="23">
        <f t="shared" si="0"/>
        <v>-51.937972860999537</v>
      </c>
      <c r="W7" s="23">
        <f t="shared" si="0"/>
        <v>16.879376879998915</v>
      </c>
      <c r="X7" s="23">
        <f t="shared" si="0"/>
        <v>141.86149133200053</v>
      </c>
      <c r="Y7" s="23">
        <f>Y6+Y13</f>
        <v>56.647391106801081</v>
      </c>
      <c r="Z7" s="23">
        <f t="shared" ref="Z7" si="1">Z6+Z13</f>
        <v>170.38934102499854</v>
      </c>
      <c r="AA7" s="23">
        <f t="shared" ref="AA7" si="2">AA6+AA13</f>
        <v>273.75009792781873</v>
      </c>
      <c r="AB7" s="23">
        <f t="shared" ref="AB7" si="3">AB6+AB13</f>
        <v>474.85721757568092</v>
      </c>
      <c r="AC7" s="23">
        <f t="shared" ref="AC7:AD7" si="4">AC6+AC13</f>
        <v>727.9572563239999</v>
      </c>
      <c r="AD7" s="23">
        <f t="shared" si="4"/>
        <v>595.63029758127004</v>
      </c>
      <c r="AE7" s="684">
        <f t="shared" ref="AE7" si="5">AE6+AE13</f>
        <v>574.91737585249939</v>
      </c>
    </row>
    <row r="8" spans="2:31">
      <c r="B8" t="s">
        <v>676</v>
      </c>
      <c r="C8" s="618">
        <f>+C6/C10</f>
        <v>-3.5983961434332122E-3</v>
      </c>
      <c r="D8" s="618">
        <f t="shared" ref="D8:AE8" si="6">+D6/D10</f>
        <v>-2.5836859669040493E-2</v>
      </c>
      <c r="E8" s="618">
        <f t="shared" si="6"/>
        <v>-4.0686978220940168E-2</v>
      </c>
      <c r="F8" s="618">
        <f t="shared" si="6"/>
        <v>-1.4584510728730704E-2</v>
      </c>
      <c r="G8" s="618">
        <f t="shared" si="6"/>
        <v>-5.2118651191723781E-3</v>
      </c>
      <c r="H8" s="618">
        <f t="shared" si="6"/>
        <v>-1.3769607347128671E-3</v>
      </c>
      <c r="I8" s="618">
        <f t="shared" si="6"/>
        <v>-2.514256420892395E-2</v>
      </c>
      <c r="J8" s="618">
        <f t="shared" si="6"/>
        <v>-1.8012795485280255E-2</v>
      </c>
      <c r="K8" s="618">
        <f t="shared" si="6"/>
        <v>-2.7986033569061163E-2</v>
      </c>
      <c r="L8" s="618">
        <f t="shared" si="6"/>
        <v>-3.3814371404836514E-2</v>
      </c>
      <c r="M8" s="618">
        <f t="shared" si="6"/>
        <v>-4.9313944276952716E-2</v>
      </c>
      <c r="N8" s="618">
        <f t="shared" si="6"/>
        <v>-4.9936079607144232E-2</v>
      </c>
      <c r="O8" s="618">
        <f t="shared" si="6"/>
        <v>-4.2283649290352006E-2</v>
      </c>
      <c r="P8" s="618">
        <f t="shared" si="6"/>
        <v>-2.7636083851069707E-2</v>
      </c>
      <c r="Q8" s="618">
        <f t="shared" si="6"/>
        <v>-3.4548918220166008E-2</v>
      </c>
      <c r="R8" s="618">
        <f t="shared" si="6"/>
        <v>-3.4100234439111775E-2</v>
      </c>
      <c r="S8" s="618">
        <f t="shared" si="6"/>
        <v>-2.3225123811483242E-2</v>
      </c>
      <c r="T8" s="618">
        <f t="shared" si="6"/>
        <v>-3.7999898815192619E-2</v>
      </c>
      <c r="U8" s="618">
        <f t="shared" si="6"/>
        <v>-3.6373858910713944E-2</v>
      </c>
      <c r="V8" s="618">
        <f t="shared" si="6"/>
        <v>-2.2174733004100167E-2</v>
      </c>
      <c r="W8" s="618">
        <f t="shared" si="6"/>
        <v>-1.9163563816014622E-2</v>
      </c>
      <c r="X8" s="618">
        <f t="shared" si="6"/>
        <v>-1.2972812248487899E-2</v>
      </c>
      <c r="Y8" s="618">
        <f t="shared" si="6"/>
        <v>-1.7535516769763525E-2</v>
      </c>
      <c r="Z8" s="618">
        <f t="shared" si="6"/>
        <v>-1.3127537996022811E-2</v>
      </c>
      <c r="AA8" s="618">
        <f t="shared" si="6"/>
        <v>-9.0220140122373189E-3</v>
      </c>
      <c r="AB8" s="618">
        <f t="shared" si="6"/>
        <v>-1.8641600727296165E-3</v>
      </c>
      <c r="AC8" s="618">
        <f t="shared" ref="AC8" si="7">+AC6/AC10</f>
        <v>6.7221805070368703E-3</v>
      </c>
      <c r="AD8" s="618">
        <f t="shared" si="6"/>
        <v>8.8127308775040342E-3</v>
      </c>
      <c r="AE8" s="618">
        <f t="shared" si="6"/>
        <v>1.5330730669089221E-2</v>
      </c>
    </row>
    <row r="9" spans="2:31">
      <c r="B9" t="s">
        <v>677</v>
      </c>
      <c r="C9" s="618"/>
      <c r="D9" s="618"/>
      <c r="E9" s="618"/>
      <c r="F9" s="618"/>
      <c r="G9" s="618"/>
      <c r="H9" s="618"/>
      <c r="I9" s="618"/>
      <c r="J9" s="618"/>
      <c r="K9" s="618"/>
      <c r="L9" s="618"/>
      <c r="M9" s="618">
        <f>M7/M10</f>
        <v>-4.0952474775148122E-2</v>
      </c>
      <c r="N9" s="618">
        <f t="shared" ref="N9:AE9" si="8">N7/N10</f>
        <v>-3.750733367076773E-2</v>
      </c>
      <c r="O9" s="618">
        <f t="shared" si="8"/>
        <v>-2.3429672097850407E-2</v>
      </c>
      <c r="P9" s="618">
        <f t="shared" si="8"/>
        <v>-7.4900854729500824E-3</v>
      </c>
      <c r="Q9" s="618">
        <f t="shared" si="8"/>
        <v>-1.2294189685671518E-2</v>
      </c>
      <c r="R9" s="618">
        <f t="shared" si="8"/>
        <v>-1.2262584305267098E-2</v>
      </c>
      <c r="S9" s="618">
        <f t="shared" si="8"/>
        <v>-4.4557438241215634E-3</v>
      </c>
      <c r="T9" s="618">
        <f t="shared" si="8"/>
        <v>-2.0170246218217825E-2</v>
      </c>
      <c r="U9" s="618">
        <f t="shared" si="8"/>
        <v>-1.6716577365038031E-2</v>
      </c>
      <c r="V9" s="618">
        <f t="shared" si="8"/>
        <v>-2.815383677997278E-3</v>
      </c>
      <c r="W9" s="618">
        <f t="shared" si="8"/>
        <v>8.3216130721191594E-4</v>
      </c>
      <c r="X9" s="618">
        <f t="shared" si="8"/>
        <v>6.6333347204616316E-3</v>
      </c>
      <c r="Y9" s="618">
        <f t="shared" si="8"/>
        <v>2.5759398910643774E-3</v>
      </c>
      <c r="Z9" s="618">
        <f t="shared" si="8"/>
        <v>7.5415304079009789E-3</v>
      </c>
      <c r="AA9" s="618">
        <f t="shared" si="8"/>
        <v>1.1679635413231484E-2</v>
      </c>
      <c r="AB9" s="618">
        <f t="shared" si="8"/>
        <v>1.9659478969652821E-2</v>
      </c>
      <c r="AC9" s="618">
        <f t="shared" ref="AC9" si="9">AC7/AC10</f>
        <v>2.920242828934726E-2</v>
      </c>
      <c r="AD9" s="618">
        <f t="shared" si="8"/>
        <v>2.2858796834212693E-2</v>
      </c>
      <c r="AE9" s="618">
        <f t="shared" si="8"/>
        <v>2.1416420218981748E-2</v>
      </c>
    </row>
    <row r="10" spans="2:31">
      <c r="B10" t="s">
        <v>194</v>
      </c>
      <c r="C10" s="617">
        <v>5252.34</v>
      </c>
      <c r="D10" s="617">
        <v>5813.4</v>
      </c>
      <c r="E10" s="617">
        <v>6680.27</v>
      </c>
      <c r="F10" s="617">
        <v>7679.38</v>
      </c>
      <c r="G10" s="617">
        <v>8921.9500000000007</v>
      </c>
      <c r="H10" s="617">
        <v>9586.33</v>
      </c>
      <c r="I10" s="617">
        <v>10221.709999999999</v>
      </c>
      <c r="J10" s="617">
        <v>10936.67</v>
      </c>
      <c r="K10" s="617">
        <v>11284.2</v>
      </c>
      <c r="L10" s="617">
        <v>11784.93</v>
      </c>
      <c r="M10" s="617">
        <v>12282.53</v>
      </c>
      <c r="N10" s="617">
        <v>12664.19</v>
      </c>
      <c r="O10" s="617">
        <v>13243.89</v>
      </c>
      <c r="P10" s="617">
        <v>13724.81</v>
      </c>
      <c r="Q10" s="617">
        <v>14698</v>
      </c>
      <c r="R10" s="617">
        <v>15999.89</v>
      </c>
      <c r="S10" s="617">
        <v>17011.75</v>
      </c>
      <c r="T10" s="617">
        <v>17986.89</v>
      </c>
      <c r="U10" s="617">
        <v>17601.62</v>
      </c>
      <c r="V10" s="617">
        <v>18447.919999999998</v>
      </c>
      <c r="W10" s="617">
        <v>20283.78</v>
      </c>
      <c r="X10" s="617">
        <v>21386.15</v>
      </c>
      <c r="Y10" s="617">
        <v>21990.959999999999</v>
      </c>
      <c r="Z10" s="617">
        <v>22593.47</v>
      </c>
      <c r="AA10" s="617">
        <v>23438.240000000002</v>
      </c>
      <c r="AB10" s="617">
        <v>24154.11</v>
      </c>
      <c r="AC10" s="617">
        <v>24927.97</v>
      </c>
      <c r="AD10" s="617">
        <v>26056.94</v>
      </c>
      <c r="AE10" s="617">
        <v>26844.7</v>
      </c>
    </row>
    <row r="13" spans="2:31">
      <c r="B13" t="s">
        <v>671</v>
      </c>
      <c r="L13" s="23"/>
      <c r="M13" s="23">
        <v>102.7</v>
      </c>
      <c r="N13" s="23">
        <v>157.4</v>
      </c>
      <c r="O13" s="23">
        <v>249.7</v>
      </c>
      <c r="P13" s="23">
        <v>276.5</v>
      </c>
      <c r="Q13" s="23">
        <v>327.10000000000002</v>
      </c>
      <c r="R13" s="23">
        <v>349.40000000000003</v>
      </c>
      <c r="S13" s="23">
        <v>319.3</v>
      </c>
      <c r="T13" s="23">
        <v>320.7</v>
      </c>
      <c r="U13" s="23">
        <v>346</v>
      </c>
      <c r="V13" s="23">
        <v>357.13972761999997</v>
      </c>
      <c r="W13" s="23">
        <v>405.58888933999998</v>
      </c>
      <c r="X13" s="23">
        <v>419.3</v>
      </c>
      <c r="Y13" s="23">
        <v>442.27023896999998</v>
      </c>
      <c r="Z13" s="23">
        <v>466.98597691200007</v>
      </c>
      <c r="AA13" s="23">
        <v>485.21022762999996</v>
      </c>
      <c r="AB13" s="23">
        <v>519.88434503000008</v>
      </c>
      <c r="AC13" s="23">
        <v>560.38694230999999</v>
      </c>
      <c r="AD13" s="23">
        <v>365.99749787000002</v>
      </c>
      <c r="AE13" s="684">
        <v>163.36851025999999</v>
      </c>
    </row>
    <row r="16" spans="2:31">
      <c r="Z16" s="23"/>
      <c r="AA16" s="23"/>
      <c r="AD16">
        <v>595.63029758127004</v>
      </c>
    </row>
    <row r="17" spans="25:27">
      <c r="Z17" s="23"/>
      <c r="AA17" s="23"/>
    </row>
    <row r="18" spans="25:27">
      <c r="Y18" s="23"/>
      <c r="Z18" s="23"/>
      <c r="AA18" s="23"/>
    </row>
    <row r="19" spans="25:27">
      <c r="Y19" s="23"/>
      <c r="Z19" s="23"/>
      <c r="AA19" s="23"/>
    </row>
    <row r="20" spans="25:27">
      <c r="Y20" s="23"/>
      <c r="Z20" s="23"/>
      <c r="AA20" s="23"/>
    </row>
    <row r="21" spans="25:27">
      <c r="Y21" s="23"/>
      <c r="Z21" s="23"/>
      <c r="AA21" s="23"/>
    </row>
    <row r="22" spans="25:27">
      <c r="Y22" s="23"/>
      <c r="Z22" s="23"/>
      <c r="AA22" s="23"/>
    </row>
    <row r="23" spans="25:27">
      <c r="Y23" s="23"/>
      <c r="Z23" s="23"/>
      <c r="AA23" s="23"/>
    </row>
    <row r="24" spans="25:27">
      <c r="Y24" s="23"/>
      <c r="Z24" s="23"/>
      <c r="AA24" s="23"/>
    </row>
    <row r="25" spans="25:27">
      <c r="Y25" s="23"/>
      <c r="Z25" s="23"/>
      <c r="AA25" s="23"/>
    </row>
    <row r="26" spans="25:27">
      <c r="Y26" s="23"/>
      <c r="Z26" s="23"/>
      <c r="AA26" s="23"/>
    </row>
    <row r="27" spans="25:27">
      <c r="Y27" s="23"/>
      <c r="Z27" s="23"/>
      <c r="AA27" s="23"/>
    </row>
    <row r="28" spans="25:27">
      <c r="Y28" s="23"/>
      <c r="Z28" s="23"/>
      <c r="AA28" s="23"/>
    </row>
    <row r="29" spans="25:27">
      <c r="Y29" s="23"/>
      <c r="Z29" s="23"/>
      <c r="AA29" s="23"/>
    </row>
    <row r="30" spans="25:27">
      <c r="Y30" s="23"/>
      <c r="Z30" s="23"/>
      <c r="AA30" s="23"/>
    </row>
    <row r="31" spans="25:27">
      <c r="Y31" s="23"/>
      <c r="Z31" s="23"/>
      <c r="AA31" s="23"/>
    </row>
    <row r="32" spans="25:27">
      <c r="Y32" s="23"/>
      <c r="Z32" s="23"/>
      <c r="AA32" s="23"/>
    </row>
    <row r="33" spans="25:27">
      <c r="Y33" s="23"/>
      <c r="Z33" s="23"/>
      <c r="AA33" s="23"/>
    </row>
    <row r="34" spans="25:27">
      <c r="Y34" s="23"/>
      <c r="Z34" s="23"/>
      <c r="AA34" s="23"/>
    </row>
    <row r="35" spans="25:27">
      <c r="Z35" s="23"/>
      <c r="AA35" s="23"/>
    </row>
    <row r="36" spans="25:27">
      <c r="Z36" s="23"/>
      <c r="AA36" s="23"/>
    </row>
    <row r="37" spans="25:27">
      <c r="Z37" s="23"/>
      <c r="AA37" s="23"/>
    </row>
    <row r="38" spans="25:27">
      <c r="Z38" s="23"/>
      <c r="AA38" s="23"/>
    </row>
    <row r="39" spans="25:27">
      <c r="Z39" s="23"/>
      <c r="AA39" s="23"/>
    </row>
    <row r="40" spans="25:27">
      <c r="Z40" s="23"/>
      <c r="AA40" s="23"/>
    </row>
    <row r="41" spans="25:27">
      <c r="Z41" s="23"/>
      <c r="AA41" s="23"/>
    </row>
    <row r="42" spans="25:27">
      <c r="Z42" s="23"/>
      <c r="AA42" s="23"/>
    </row>
    <row r="43" spans="25:27">
      <c r="Z43" s="23"/>
      <c r="AA43" s="23"/>
    </row>
  </sheetData>
  <printOptions horizontalCentered="1"/>
  <pageMargins left="0.7" right="0.7" top="0.75" bottom="0.75" header="0.3" footer="0.3"/>
  <pageSetup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Q109"/>
  <sheetViews>
    <sheetView workbookViewId="0"/>
  </sheetViews>
  <sheetFormatPr baseColWidth="10" defaultRowHeight="15"/>
  <cols>
    <col min="1" max="1" width="2.7109375" customWidth="1"/>
    <col min="2" max="2" width="52.42578125" customWidth="1"/>
    <col min="3" max="14" width="8.7109375" customWidth="1"/>
    <col min="15" max="15" width="10.5703125" customWidth="1"/>
  </cols>
  <sheetData>
    <row r="1" spans="1:17" ht="15.75">
      <c r="A1" s="2"/>
      <c r="B1" s="353" t="s">
        <v>18</v>
      </c>
      <c r="C1" s="2"/>
      <c r="D1" s="2"/>
      <c r="E1" s="2"/>
      <c r="F1" s="2"/>
      <c r="G1" s="2"/>
      <c r="H1" s="2"/>
      <c r="I1" s="2"/>
      <c r="J1" s="2"/>
      <c r="K1" s="2"/>
      <c r="L1" s="2"/>
      <c r="M1" s="2"/>
      <c r="N1" s="2"/>
      <c r="O1" s="2"/>
      <c r="P1" s="2"/>
    </row>
    <row r="2" spans="1:17" ht="15.75">
      <c r="A2" s="2"/>
      <c r="B2" s="353" t="s">
        <v>349</v>
      </c>
      <c r="C2" s="2"/>
      <c r="D2" s="2"/>
      <c r="E2" s="2"/>
      <c r="F2" s="2"/>
      <c r="G2" s="2"/>
      <c r="H2" s="2"/>
      <c r="I2" s="2"/>
      <c r="J2" s="2"/>
      <c r="K2" s="2"/>
      <c r="L2" s="2"/>
      <c r="M2" s="2"/>
      <c r="N2" s="2"/>
      <c r="O2" s="2"/>
      <c r="P2" s="2"/>
    </row>
    <row r="3" spans="1:17" ht="15.75">
      <c r="A3" s="2"/>
      <c r="B3" s="353" t="s">
        <v>19</v>
      </c>
      <c r="C3" s="2"/>
      <c r="D3" s="2"/>
      <c r="E3" s="2"/>
      <c r="F3" s="2"/>
      <c r="G3" s="2"/>
      <c r="H3" s="2"/>
      <c r="I3" s="2"/>
      <c r="J3" s="2"/>
      <c r="K3" s="2"/>
      <c r="L3" s="2"/>
      <c r="M3" s="2"/>
      <c r="N3" s="2"/>
      <c r="O3" s="2"/>
      <c r="P3" s="2"/>
    </row>
    <row r="4" spans="1:17" ht="16.5" thickBot="1">
      <c r="A4" s="2"/>
      <c r="B4" s="354"/>
      <c r="C4" s="2"/>
      <c r="D4" s="2"/>
      <c r="E4" s="2"/>
      <c r="F4" s="2"/>
      <c r="G4" s="2"/>
      <c r="H4" s="2"/>
      <c r="I4" s="2"/>
      <c r="J4" s="2"/>
      <c r="K4" s="2"/>
      <c r="L4" s="2"/>
      <c r="M4" s="2"/>
      <c r="N4" s="2"/>
      <c r="O4" s="2"/>
      <c r="P4" s="2"/>
    </row>
    <row r="5" spans="1:17"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350</v>
      </c>
      <c r="P5" s="2"/>
    </row>
    <row r="6" spans="1:17" ht="15.75">
      <c r="A6" s="2"/>
      <c r="B6" s="358"/>
      <c r="C6" s="359"/>
      <c r="D6" s="359"/>
      <c r="E6" s="359"/>
      <c r="F6" s="359"/>
      <c r="G6" s="359"/>
      <c r="H6" s="359"/>
      <c r="I6" s="359"/>
      <c r="J6" s="359"/>
      <c r="K6" s="359"/>
      <c r="L6" s="359"/>
      <c r="M6" s="359"/>
      <c r="N6" s="359"/>
      <c r="O6" s="360"/>
      <c r="P6" s="2"/>
      <c r="Q6" s="361"/>
    </row>
    <row r="7" spans="1:17" ht="24.95" customHeight="1">
      <c r="A7" s="2"/>
      <c r="B7" s="362" t="s">
        <v>239</v>
      </c>
      <c r="C7" s="363">
        <f t="shared" ref="C7:N7" si="0">+C8+C12+C13</f>
        <v>317.93663930999998</v>
      </c>
      <c r="D7" s="363">
        <f t="shared" si="0"/>
        <v>270.94941105999999</v>
      </c>
      <c r="E7" s="363">
        <f t="shared" si="0"/>
        <v>275.95168446999998</v>
      </c>
      <c r="F7" s="363">
        <f t="shared" si="0"/>
        <v>444.07540128000005</v>
      </c>
      <c r="G7" s="363">
        <f t="shared" si="0"/>
        <v>282.99040133999995</v>
      </c>
      <c r="H7" s="363">
        <f t="shared" si="0"/>
        <v>273.57232615000004</v>
      </c>
      <c r="I7" s="363">
        <f t="shared" si="0"/>
        <v>281.4590584</v>
      </c>
      <c r="J7" s="363">
        <f t="shared" si="0"/>
        <v>273.50409486999996</v>
      </c>
      <c r="K7" s="363">
        <f t="shared" si="0"/>
        <v>281.20341410000003</v>
      </c>
      <c r="L7" s="363">
        <f t="shared" si="0"/>
        <v>275.46623410000001</v>
      </c>
      <c r="M7" s="363">
        <f t="shared" si="0"/>
        <v>263.398181593</v>
      </c>
      <c r="N7" s="363">
        <f t="shared" si="0"/>
        <v>385.88732288399996</v>
      </c>
      <c r="O7" s="364">
        <f>SUM(C7:N7)</f>
        <v>3626.3941695569993</v>
      </c>
      <c r="P7" s="2"/>
      <c r="Q7" s="361"/>
    </row>
    <row r="8" spans="1:17" ht="21" customHeight="1">
      <c r="A8" s="2"/>
      <c r="B8" s="365" t="s">
        <v>240</v>
      </c>
      <c r="C8" s="366">
        <f>+C9+C10+C11</f>
        <v>315.83847743999996</v>
      </c>
      <c r="D8" s="366">
        <f t="shared" ref="D8:N8" si="1">+D9+D10+D11</f>
        <v>263.84419565999997</v>
      </c>
      <c r="E8" s="366">
        <f t="shared" si="1"/>
        <v>271.42088242</v>
      </c>
      <c r="F8" s="366">
        <f t="shared" si="1"/>
        <v>437.24602019000002</v>
      </c>
      <c r="G8" s="366">
        <f t="shared" si="1"/>
        <v>280.53569529999999</v>
      </c>
      <c r="H8" s="366">
        <f t="shared" si="1"/>
        <v>270.96706602</v>
      </c>
      <c r="I8" s="366">
        <f t="shared" si="1"/>
        <v>277.81326548999999</v>
      </c>
      <c r="J8" s="366">
        <f t="shared" si="1"/>
        <v>269.07085486999995</v>
      </c>
      <c r="K8" s="366">
        <f t="shared" si="1"/>
        <v>253.04388410000001</v>
      </c>
      <c r="L8" s="366">
        <f t="shared" si="1"/>
        <v>269.01175410000002</v>
      </c>
      <c r="M8" s="366">
        <f t="shared" si="1"/>
        <v>259.148611593</v>
      </c>
      <c r="N8" s="366">
        <f t="shared" si="1"/>
        <v>349.62020288399998</v>
      </c>
      <c r="O8" s="367">
        <f t="shared" ref="O8:O13" si="2">SUM(C8:N8)</f>
        <v>3517.5609100669999</v>
      </c>
      <c r="P8" s="2"/>
      <c r="Q8" s="361"/>
    </row>
    <row r="9" spans="1:17" ht="18.75">
      <c r="A9" s="2"/>
      <c r="B9" s="368" t="s">
        <v>351</v>
      </c>
      <c r="C9" s="366">
        <v>261.17770649999994</v>
      </c>
      <c r="D9" s="366">
        <v>213.9345132</v>
      </c>
      <c r="E9" s="366">
        <v>217.36534319</v>
      </c>
      <c r="F9" s="366">
        <v>391.70445529</v>
      </c>
      <c r="G9" s="366">
        <v>228.08045212000002</v>
      </c>
      <c r="H9" s="366">
        <v>221.02730346999996</v>
      </c>
      <c r="I9" s="366">
        <v>224.53169999999997</v>
      </c>
      <c r="J9" s="366">
        <v>217.21568954999998</v>
      </c>
      <c r="K9" s="366">
        <v>205.75245672000003</v>
      </c>
      <c r="L9" s="366">
        <v>221.26598537000001</v>
      </c>
      <c r="M9" s="366">
        <v>210.17864940999999</v>
      </c>
      <c r="N9" s="366">
        <v>223.73687126000002</v>
      </c>
      <c r="O9" s="367">
        <f t="shared" si="2"/>
        <v>2835.97112608</v>
      </c>
      <c r="P9" s="2"/>
      <c r="Q9" s="361"/>
    </row>
    <row r="10" spans="1:17" ht="15.75">
      <c r="A10" s="2"/>
      <c r="B10" s="368" t="s">
        <v>317</v>
      </c>
      <c r="C10" s="366">
        <v>40.839889240000005</v>
      </c>
      <c r="D10" s="366">
        <v>41.300062570000009</v>
      </c>
      <c r="E10" s="366">
        <v>43.62584476</v>
      </c>
      <c r="F10" s="366">
        <v>38.454996039999997</v>
      </c>
      <c r="G10" s="366">
        <v>45.102992239999999</v>
      </c>
      <c r="H10" s="366">
        <v>41.093149649999994</v>
      </c>
      <c r="I10" s="366">
        <v>40.637954140000005</v>
      </c>
      <c r="J10" s="366">
        <v>39.384664999999998</v>
      </c>
      <c r="K10" s="366">
        <v>41.080425829999996</v>
      </c>
      <c r="L10" s="366">
        <v>41.000211530000001</v>
      </c>
      <c r="M10" s="366">
        <v>39.884477779000001</v>
      </c>
      <c r="N10" s="366">
        <v>120.56596946000001</v>
      </c>
      <c r="O10" s="367">
        <f t="shared" si="2"/>
        <v>572.97063823899998</v>
      </c>
      <c r="P10" s="2"/>
      <c r="Q10" s="361"/>
    </row>
    <row r="11" spans="1:17" ht="15.75">
      <c r="A11" s="2"/>
      <c r="B11" s="368" t="s">
        <v>318</v>
      </c>
      <c r="C11" s="366">
        <v>13.820881700000005</v>
      </c>
      <c r="D11" s="366">
        <v>8.6096198900000012</v>
      </c>
      <c r="E11" s="366">
        <v>10.429694470000001</v>
      </c>
      <c r="F11" s="366">
        <v>7.0865688599999999</v>
      </c>
      <c r="G11" s="366">
        <v>7.3522509400000011</v>
      </c>
      <c r="H11" s="366">
        <v>8.8466129000000038</v>
      </c>
      <c r="I11" s="366">
        <v>12.64361135</v>
      </c>
      <c r="J11" s="366">
        <v>12.470500320000001</v>
      </c>
      <c r="K11" s="366">
        <v>6.2110015500000006</v>
      </c>
      <c r="L11" s="366">
        <v>6.7455572000000004</v>
      </c>
      <c r="M11" s="366">
        <v>9.085484404000006</v>
      </c>
      <c r="N11" s="366">
        <v>5.3173621639999986</v>
      </c>
      <c r="O11" s="367">
        <f t="shared" si="2"/>
        <v>108.61914574800002</v>
      </c>
      <c r="P11" s="2"/>
      <c r="Q11" s="361"/>
    </row>
    <row r="12" spans="1:17" ht="21" customHeight="1">
      <c r="A12" s="2"/>
      <c r="B12" s="365" t="s">
        <v>244</v>
      </c>
      <c r="C12" s="366">
        <v>0</v>
      </c>
      <c r="D12" s="366">
        <v>0</v>
      </c>
      <c r="E12" s="366">
        <v>0</v>
      </c>
      <c r="F12" s="366">
        <v>0</v>
      </c>
      <c r="G12" s="366">
        <v>2.4905E-2</v>
      </c>
      <c r="H12" s="366">
        <v>1.477727E-2</v>
      </c>
      <c r="I12" s="366">
        <v>0</v>
      </c>
      <c r="J12" s="366">
        <v>0</v>
      </c>
      <c r="K12" s="366">
        <v>0</v>
      </c>
      <c r="L12" s="366">
        <v>0</v>
      </c>
      <c r="M12" s="366">
        <v>0</v>
      </c>
      <c r="N12" s="366">
        <v>1.6000000000000001E-3</v>
      </c>
      <c r="O12" s="367">
        <f t="shared" si="2"/>
        <v>4.1282269999999996E-2</v>
      </c>
      <c r="P12" s="2"/>
      <c r="Q12" s="361"/>
    </row>
    <row r="13" spans="1:17" ht="21" customHeight="1">
      <c r="A13" s="2"/>
      <c r="B13" s="365" t="s">
        <v>245</v>
      </c>
      <c r="C13" s="366">
        <v>2.0981618700000002</v>
      </c>
      <c r="D13" s="366">
        <v>7.1052153999999996</v>
      </c>
      <c r="E13" s="366">
        <v>4.5308020500000001</v>
      </c>
      <c r="F13" s="366">
        <v>6.8293810900000009</v>
      </c>
      <c r="G13" s="366">
        <v>2.4298010399999996</v>
      </c>
      <c r="H13" s="366">
        <v>2.5904828600000003</v>
      </c>
      <c r="I13" s="366">
        <v>3.6457929099999999</v>
      </c>
      <c r="J13" s="366">
        <v>4.4332399999999996</v>
      </c>
      <c r="K13" s="366">
        <v>28.15953</v>
      </c>
      <c r="L13" s="366">
        <v>6.4544800000000002</v>
      </c>
      <c r="M13" s="366">
        <v>4.2495700000000003</v>
      </c>
      <c r="N13" s="366">
        <v>36.265519999999995</v>
      </c>
      <c r="O13" s="367">
        <f t="shared" si="2"/>
        <v>108.79197722000001</v>
      </c>
      <c r="P13" s="2"/>
      <c r="Q13" s="361"/>
    </row>
    <row r="14" spans="1:17" ht="24.95" customHeight="1">
      <c r="A14" s="2"/>
      <c r="B14" s="362" t="s">
        <v>246</v>
      </c>
      <c r="C14" s="363">
        <f>+C15+C21+C25</f>
        <v>385.22878753999998</v>
      </c>
      <c r="D14" s="363">
        <f t="shared" ref="D14:N14" si="3">+D15+D21+D25</f>
        <v>318.27375947000002</v>
      </c>
      <c r="E14" s="363">
        <f t="shared" si="3"/>
        <v>343.18543581999995</v>
      </c>
      <c r="F14" s="363">
        <f t="shared" si="3"/>
        <v>397.16282161999993</v>
      </c>
      <c r="G14" s="363">
        <f t="shared" si="3"/>
        <v>292.35503473999995</v>
      </c>
      <c r="H14" s="363">
        <f t="shared" si="3"/>
        <v>438.40516333999994</v>
      </c>
      <c r="I14" s="363">
        <f t="shared" si="3"/>
        <v>406.24992161999995</v>
      </c>
      <c r="J14" s="363">
        <f t="shared" si="3"/>
        <v>308.37468930299997</v>
      </c>
      <c r="K14" s="363">
        <f t="shared" si="3"/>
        <v>320.55961914000005</v>
      </c>
      <c r="L14" s="363">
        <f t="shared" si="3"/>
        <v>338.37424747</v>
      </c>
      <c r="M14" s="363">
        <f t="shared" si="3"/>
        <v>300.42350173</v>
      </c>
      <c r="N14" s="363">
        <f t="shared" si="3"/>
        <v>603.07421525000007</v>
      </c>
      <c r="O14" s="364">
        <f>SUM(C14:N14)</f>
        <v>4451.6671970429989</v>
      </c>
      <c r="P14" s="2"/>
      <c r="Q14" s="361"/>
    </row>
    <row r="15" spans="1:17" ht="21" customHeight="1">
      <c r="A15" s="2"/>
      <c r="B15" s="365" t="s">
        <v>247</v>
      </c>
      <c r="C15" s="366">
        <f>+C16+C19+C20</f>
        <v>356.07637362999998</v>
      </c>
      <c r="D15" s="366">
        <f t="shared" ref="D15:N15" si="4">+D16+D19+D20</f>
        <v>253.07622488999999</v>
      </c>
      <c r="E15" s="366">
        <f t="shared" si="4"/>
        <v>307.00167339999996</v>
      </c>
      <c r="F15" s="366">
        <f t="shared" si="4"/>
        <v>310.52041282999994</v>
      </c>
      <c r="G15" s="366">
        <f t="shared" si="4"/>
        <v>250.17229395999993</v>
      </c>
      <c r="H15" s="366">
        <f t="shared" si="4"/>
        <v>371.53342619</v>
      </c>
      <c r="I15" s="366">
        <f t="shared" si="4"/>
        <v>346.86256900999996</v>
      </c>
      <c r="J15" s="366">
        <f t="shared" si="4"/>
        <v>246.30722087299998</v>
      </c>
      <c r="K15" s="366">
        <f t="shared" si="4"/>
        <v>272.25825579000002</v>
      </c>
      <c r="L15" s="366">
        <f t="shared" si="4"/>
        <v>300.38937591000001</v>
      </c>
      <c r="M15" s="366">
        <f t="shared" si="4"/>
        <v>261.89815644999999</v>
      </c>
      <c r="N15" s="366">
        <f t="shared" si="4"/>
        <v>533.37468856999999</v>
      </c>
      <c r="O15" s="367">
        <f t="shared" ref="O15:O25" si="5">SUM(C15:N15)</f>
        <v>3809.4706715029997</v>
      </c>
      <c r="P15" s="2"/>
      <c r="Q15" s="361"/>
    </row>
    <row r="16" spans="1:17" ht="15.75">
      <c r="A16" s="2"/>
      <c r="B16" s="368" t="s">
        <v>321</v>
      </c>
      <c r="C16" s="366">
        <f>+C17+C18</f>
        <v>190.24446742999999</v>
      </c>
      <c r="D16" s="366">
        <f t="shared" ref="D16:N16" si="6">+D17+D18</f>
        <v>182.29620804999999</v>
      </c>
      <c r="E16" s="366">
        <f t="shared" si="6"/>
        <v>215.50459254999998</v>
      </c>
      <c r="F16" s="366">
        <f t="shared" si="6"/>
        <v>182.08826813999997</v>
      </c>
      <c r="G16" s="366">
        <f t="shared" si="6"/>
        <v>191.37710767999997</v>
      </c>
      <c r="H16" s="366">
        <f t="shared" si="6"/>
        <v>226.25786159</v>
      </c>
      <c r="I16" s="366">
        <f t="shared" si="6"/>
        <v>207.63950706</v>
      </c>
      <c r="J16" s="366">
        <f t="shared" si="6"/>
        <v>186.56829997299999</v>
      </c>
      <c r="K16" s="366">
        <f t="shared" si="6"/>
        <v>195.53846874999999</v>
      </c>
      <c r="L16" s="366">
        <f t="shared" si="6"/>
        <v>195.66830121999999</v>
      </c>
      <c r="M16" s="366">
        <f t="shared" si="6"/>
        <v>187.24383220999999</v>
      </c>
      <c r="N16" s="366">
        <f t="shared" si="6"/>
        <v>372.86445648999995</v>
      </c>
      <c r="O16" s="367">
        <f t="shared" si="5"/>
        <v>2533.2913711430001</v>
      </c>
      <c r="P16" s="2"/>
      <c r="Q16" s="361"/>
    </row>
    <row r="17" spans="1:17" ht="15.75">
      <c r="A17" s="2"/>
      <c r="B17" s="369" t="s">
        <v>322</v>
      </c>
      <c r="C17" s="366">
        <v>129.12234590399999</v>
      </c>
      <c r="D17" s="366">
        <v>124.90001112099999</v>
      </c>
      <c r="E17" s="366">
        <v>124.34725215999998</v>
      </c>
      <c r="F17" s="366">
        <v>126.31754807899999</v>
      </c>
      <c r="G17" s="366">
        <v>126.11527768599998</v>
      </c>
      <c r="H17" s="366">
        <v>148.86727783800001</v>
      </c>
      <c r="I17" s="366">
        <v>138.320832236</v>
      </c>
      <c r="J17" s="366">
        <v>124.933273961</v>
      </c>
      <c r="K17" s="366">
        <v>125.09020850099999</v>
      </c>
      <c r="L17" s="366">
        <v>127.22844329199998</v>
      </c>
      <c r="M17" s="366">
        <v>126.811705581</v>
      </c>
      <c r="N17" s="366">
        <v>237.11633077400001</v>
      </c>
      <c r="O17" s="367">
        <f t="shared" si="5"/>
        <v>1659.1705071330002</v>
      </c>
      <c r="P17" s="2"/>
      <c r="Q17" s="361"/>
    </row>
    <row r="18" spans="1:17" ht="15.75">
      <c r="A18" s="2"/>
      <c r="B18" s="369" t="s">
        <v>323</v>
      </c>
      <c r="C18" s="366">
        <v>61.122121526000001</v>
      </c>
      <c r="D18" s="366">
        <v>57.396196929000006</v>
      </c>
      <c r="E18" s="366">
        <v>91.157340390000016</v>
      </c>
      <c r="F18" s="366">
        <v>55.770720060999992</v>
      </c>
      <c r="G18" s="366">
        <v>65.261829993999982</v>
      </c>
      <c r="H18" s="366">
        <v>77.390583752000012</v>
      </c>
      <c r="I18" s="366">
        <v>69.318674823999999</v>
      </c>
      <c r="J18" s="366">
        <v>61.635026011999997</v>
      </c>
      <c r="K18" s="366">
        <v>70.448260249</v>
      </c>
      <c r="L18" s="366">
        <v>68.439857927999995</v>
      </c>
      <c r="M18" s="366">
        <v>60.432126629000003</v>
      </c>
      <c r="N18" s="366">
        <v>135.74812571599995</v>
      </c>
      <c r="O18" s="367">
        <f t="shared" si="5"/>
        <v>874.1208640100001</v>
      </c>
      <c r="P18" s="2"/>
      <c r="Q18" s="361"/>
    </row>
    <row r="19" spans="1:17" ht="15.75">
      <c r="A19" s="2"/>
      <c r="B19" s="368" t="s">
        <v>352</v>
      </c>
      <c r="C19" s="366">
        <v>81.477871930000006</v>
      </c>
      <c r="D19" s="366">
        <v>14.044916500000001</v>
      </c>
      <c r="E19" s="366">
        <v>30.002938880000002</v>
      </c>
      <c r="F19" s="366">
        <v>55.407476420000002</v>
      </c>
      <c r="G19" s="366">
        <v>16.99012505</v>
      </c>
      <c r="H19" s="366">
        <v>70.005007079999999</v>
      </c>
      <c r="I19" s="366">
        <v>80.1241488</v>
      </c>
      <c r="J19" s="366">
        <v>9.384283009999999</v>
      </c>
      <c r="K19" s="366">
        <v>23.6099155</v>
      </c>
      <c r="L19" s="366">
        <v>60.664441910000008</v>
      </c>
      <c r="M19" s="366">
        <v>24.049279180000003</v>
      </c>
      <c r="N19" s="366">
        <v>65.187129569999996</v>
      </c>
      <c r="O19" s="367">
        <f t="shared" si="5"/>
        <v>530.94753383</v>
      </c>
      <c r="P19" s="2"/>
      <c r="Q19" s="361"/>
    </row>
    <row r="20" spans="1:17" ht="15.75">
      <c r="A20" s="2"/>
      <c r="B20" s="368" t="s">
        <v>325</v>
      </c>
      <c r="C20" s="366">
        <v>84.354034269999985</v>
      </c>
      <c r="D20" s="366">
        <v>56.735100339999995</v>
      </c>
      <c r="E20" s="366">
        <v>61.494141970000008</v>
      </c>
      <c r="F20" s="366">
        <v>73.024668269999992</v>
      </c>
      <c r="G20" s="366">
        <v>41.805061229999993</v>
      </c>
      <c r="H20" s="366">
        <v>75.270557519999997</v>
      </c>
      <c r="I20" s="366">
        <v>59.098913149999994</v>
      </c>
      <c r="J20" s="366">
        <v>50.354637889999999</v>
      </c>
      <c r="K20" s="366">
        <v>53.109871540000015</v>
      </c>
      <c r="L20" s="366">
        <v>44.056632780000001</v>
      </c>
      <c r="M20" s="366">
        <v>50.605045060000002</v>
      </c>
      <c r="N20" s="366">
        <v>95.323102510000012</v>
      </c>
      <c r="O20" s="367">
        <f t="shared" si="5"/>
        <v>745.23176652999985</v>
      </c>
      <c r="P20" s="2"/>
      <c r="Q20" s="361"/>
    </row>
    <row r="21" spans="1:17" ht="21" customHeight="1">
      <c r="A21" s="2"/>
      <c r="B21" s="365" t="s">
        <v>259</v>
      </c>
      <c r="C21" s="366">
        <f>+C22+C24</f>
        <v>29.510729500000004</v>
      </c>
      <c r="D21" s="366">
        <f t="shared" ref="D21:N21" si="7">+D22+D24</f>
        <v>65.203591630000005</v>
      </c>
      <c r="E21" s="366">
        <f t="shared" si="7"/>
        <v>36.200078899999994</v>
      </c>
      <c r="F21" s="366">
        <f t="shared" si="7"/>
        <v>86.642408790000005</v>
      </c>
      <c r="G21" s="366">
        <f t="shared" si="7"/>
        <v>42.222340920000001</v>
      </c>
      <c r="H21" s="366">
        <f t="shared" si="7"/>
        <v>67.092790329999985</v>
      </c>
      <c r="I21" s="366">
        <f t="shared" si="7"/>
        <v>59.432590609999998</v>
      </c>
      <c r="J21" s="366">
        <f t="shared" si="7"/>
        <v>62.067468430000005</v>
      </c>
      <c r="K21" s="366">
        <f t="shared" si="7"/>
        <v>48.30136335000001</v>
      </c>
      <c r="L21" s="366">
        <f t="shared" si="7"/>
        <v>37.984871559999995</v>
      </c>
      <c r="M21" s="366">
        <f t="shared" si="7"/>
        <v>38.525402669999984</v>
      </c>
      <c r="N21" s="366">
        <f t="shared" si="7"/>
        <v>69.923549930000007</v>
      </c>
      <c r="O21" s="367">
        <f t="shared" si="5"/>
        <v>643.10718662000011</v>
      </c>
      <c r="P21" s="2"/>
      <c r="Q21" s="361"/>
    </row>
    <row r="22" spans="1:17" ht="15.75">
      <c r="A22" s="2"/>
      <c r="B22" s="368" t="s">
        <v>260</v>
      </c>
      <c r="C22" s="366">
        <v>27.599731730000002</v>
      </c>
      <c r="D22" s="366">
        <v>52.560472879999999</v>
      </c>
      <c r="E22" s="366">
        <v>26.458417969999999</v>
      </c>
      <c r="F22" s="366">
        <v>85.657388050000009</v>
      </c>
      <c r="G22" s="366">
        <v>34.933572910000002</v>
      </c>
      <c r="H22" s="366">
        <v>57.231447739999993</v>
      </c>
      <c r="I22" s="366">
        <v>48.806867509999996</v>
      </c>
      <c r="J22" s="366">
        <v>61.777066430000005</v>
      </c>
      <c r="K22" s="366">
        <v>45.989392400000007</v>
      </c>
      <c r="L22" s="366">
        <v>37.212937589999996</v>
      </c>
      <c r="M22" s="366">
        <v>37.769236829999983</v>
      </c>
      <c r="N22" s="366">
        <v>65.326754370000003</v>
      </c>
      <c r="O22" s="370">
        <f t="shared" si="5"/>
        <v>581.32328640999992</v>
      </c>
      <c r="P22" s="2"/>
      <c r="Q22" s="361"/>
    </row>
    <row r="23" spans="1:17" ht="15.75">
      <c r="A23" s="2"/>
      <c r="B23" s="371" t="s">
        <v>353</v>
      </c>
      <c r="C23" s="366">
        <v>1.4</v>
      </c>
      <c r="D23" s="366">
        <v>2.73</v>
      </c>
      <c r="E23" s="366">
        <v>3.14</v>
      </c>
      <c r="F23" s="366">
        <v>1.1299999999999999</v>
      </c>
      <c r="G23" s="366">
        <v>2.46</v>
      </c>
      <c r="H23" s="366">
        <v>1.44</v>
      </c>
      <c r="I23" s="366">
        <v>1</v>
      </c>
      <c r="J23" s="366">
        <v>0.39999999999999858</v>
      </c>
      <c r="K23" s="366">
        <v>7.0000000000000284E-2</v>
      </c>
      <c r="L23" s="366">
        <v>0.51</v>
      </c>
      <c r="M23" s="366">
        <v>0</v>
      </c>
      <c r="N23" s="366">
        <v>0</v>
      </c>
      <c r="O23" s="367">
        <f t="shared" si="5"/>
        <v>14.279999999999998</v>
      </c>
      <c r="P23" s="2"/>
      <c r="Q23" s="361"/>
    </row>
    <row r="24" spans="1:17" ht="15.75">
      <c r="A24" s="2"/>
      <c r="B24" s="368" t="s">
        <v>326</v>
      </c>
      <c r="C24" s="366">
        <v>1.91099777</v>
      </c>
      <c r="D24" s="366">
        <v>12.643118749999999</v>
      </c>
      <c r="E24" s="366">
        <v>9.7416609299999983</v>
      </c>
      <c r="F24" s="366">
        <v>0.98502073999999995</v>
      </c>
      <c r="G24" s="366">
        <v>7.2887680100000001</v>
      </c>
      <c r="H24" s="366">
        <v>9.8613425899999996</v>
      </c>
      <c r="I24" s="366">
        <v>10.6257231</v>
      </c>
      <c r="J24" s="366">
        <v>0.29040199999999994</v>
      </c>
      <c r="K24" s="366">
        <v>2.3119709500000001</v>
      </c>
      <c r="L24" s="366">
        <v>0.77193396999999997</v>
      </c>
      <c r="M24" s="366">
        <v>0.75616583999999998</v>
      </c>
      <c r="N24" s="366">
        <v>4.5967955600000003</v>
      </c>
      <c r="O24" s="367">
        <f t="shared" si="5"/>
        <v>61.783900209999999</v>
      </c>
      <c r="P24" s="2"/>
      <c r="Q24" s="361"/>
    </row>
    <row r="25" spans="1:17" ht="21" customHeight="1">
      <c r="A25" s="2"/>
      <c r="B25" s="365" t="s">
        <v>327</v>
      </c>
      <c r="C25" s="366">
        <v>-0.35831559000000002</v>
      </c>
      <c r="D25" s="366">
        <v>-6.0570499999999996E-3</v>
      </c>
      <c r="E25" s="366">
        <v>-1.6316480000000001E-2</v>
      </c>
      <c r="F25" s="366">
        <v>0</v>
      </c>
      <c r="G25" s="366">
        <v>-3.9600139999999999E-2</v>
      </c>
      <c r="H25" s="366">
        <v>-0.22105317999999999</v>
      </c>
      <c r="I25" s="366">
        <v>-4.5238E-2</v>
      </c>
      <c r="J25" s="366">
        <v>0</v>
      </c>
      <c r="K25" s="366">
        <v>0</v>
      </c>
      <c r="L25" s="366">
        <v>0</v>
      </c>
      <c r="M25" s="366">
        <v>-5.7389999999999998E-5</v>
      </c>
      <c r="N25" s="366">
        <v>-0.22402325000000001</v>
      </c>
      <c r="O25" s="367">
        <f t="shared" si="5"/>
        <v>-0.91066108000000012</v>
      </c>
      <c r="P25" s="2"/>
      <c r="Q25" s="361"/>
    </row>
    <row r="26" spans="1:17" ht="24.95" customHeight="1">
      <c r="A26" s="2"/>
      <c r="B26" s="362" t="s">
        <v>269</v>
      </c>
      <c r="C26" s="363">
        <f>C8-C15</f>
        <v>-40.237896190000015</v>
      </c>
      <c r="D26" s="363">
        <f t="shared" ref="D26:N26" si="8">D8-D15</f>
        <v>10.767970769999977</v>
      </c>
      <c r="E26" s="363">
        <f t="shared" si="8"/>
        <v>-35.580790979999961</v>
      </c>
      <c r="F26" s="363">
        <f t="shared" si="8"/>
        <v>126.72560736000008</v>
      </c>
      <c r="G26" s="363">
        <f t="shared" si="8"/>
        <v>30.363401340000053</v>
      </c>
      <c r="H26" s="363">
        <f t="shared" si="8"/>
        <v>-100.56636017</v>
      </c>
      <c r="I26" s="363">
        <f t="shared" si="8"/>
        <v>-69.049303519999967</v>
      </c>
      <c r="J26" s="363">
        <f t="shared" si="8"/>
        <v>22.763633996999971</v>
      </c>
      <c r="K26" s="363">
        <f t="shared" si="8"/>
        <v>-19.214371690000007</v>
      </c>
      <c r="L26" s="363">
        <f t="shared" si="8"/>
        <v>-31.377621809999994</v>
      </c>
      <c r="M26" s="363">
        <f t="shared" si="8"/>
        <v>-2.7495448569999894</v>
      </c>
      <c r="N26" s="363">
        <f t="shared" si="8"/>
        <v>-183.75448568600001</v>
      </c>
      <c r="O26" s="364">
        <f>SUM(C26:N26)</f>
        <v>-291.90976143599983</v>
      </c>
      <c r="P26" s="2"/>
      <c r="Q26" s="361"/>
    </row>
    <row r="27" spans="1:17" ht="39.950000000000003" customHeight="1">
      <c r="A27" s="2"/>
      <c r="B27" s="372" t="s">
        <v>354</v>
      </c>
      <c r="C27" s="363">
        <f>C29+C19</f>
        <v>14.185723699999997</v>
      </c>
      <c r="D27" s="363">
        <f t="shared" ref="D27:N27" si="9">D29+D19</f>
        <v>-33.279431910000028</v>
      </c>
      <c r="E27" s="363">
        <f t="shared" si="9"/>
        <v>-37.230812469999975</v>
      </c>
      <c r="F27" s="363">
        <f t="shared" si="9"/>
        <v>102.32005608000011</v>
      </c>
      <c r="G27" s="363">
        <f t="shared" si="9"/>
        <v>7.6254916499999972</v>
      </c>
      <c r="H27" s="363">
        <f t="shared" si="9"/>
        <v>-94.827830109999908</v>
      </c>
      <c r="I27" s="363">
        <f t="shared" si="9"/>
        <v>-44.666714419999948</v>
      </c>
      <c r="J27" s="363">
        <f t="shared" si="9"/>
        <v>-25.486311423000011</v>
      </c>
      <c r="K27" s="363">
        <f t="shared" si="9"/>
        <v>-15.746289540000021</v>
      </c>
      <c r="L27" s="363">
        <f t="shared" si="9"/>
        <v>-2.2435714599999841</v>
      </c>
      <c r="M27" s="363">
        <f t="shared" si="9"/>
        <v>-12.976040956999991</v>
      </c>
      <c r="N27" s="363">
        <f t="shared" si="9"/>
        <v>-151.99976279600011</v>
      </c>
      <c r="O27" s="364">
        <f>SUM(C27:N27)</f>
        <v>-294.32549365599988</v>
      </c>
      <c r="P27" s="2"/>
      <c r="Q27" s="361"/>
    </row>
    <row r="28" spans="1:17" ht="24.95" customHeight="1">
      <c r="A28" s="2"/>
      <c r="B28" s="373" t="s">
        <v>328</v>
      </c>
      <c r="C28" s="366"/>
      <c r="D28" s="366"/>
      <c r="E28" s="366"/>
      <c r="F28" s="366"/>
      <c r="G28" s="366"/>
      <c r="H28" s="366"/>
      <c r="I28" s="366"/>
      <c r="J28" s="366"/>
      <c r="K28" s="366"/>
      <c r="L28" s="366"/>
      <c r="M28" s="366"/>
      <c r="N28" s="366"/>
      <c r="O28" s="364"/>
      <c r="P28" s="2"/>
      <c r="Q28" s="361"/>
    </row>
    <row r="29" spans="1:17" ht="21" customHeight="1">
      <c r="A29" s="2"/>
      <c r="B29" s="374" t="s">
        <v>329</v>
      </c>
      <c r="C29" s="363">
        <f t="shared" ref="C29:N29" si="10">C7-C14</f>
        <v>-67.292148230000009</v>
      </c>
      <c r="D29" s="363">
        <f t="shared" si="10"/>
        <v>-47.324348410000027</v>
      </c>
      <c r="E29" s="363">
        <f t="shared" si="10"/>
        <v>-67.233751349999977</v>
      </c>
      <c r="F29" s="363">
        <f t="shared" si="10"/>
        <v>46.912579660000119</v>
      </c>
      <c r="G29" s="363">
        <f t="shared" si="10"/>
        <v>-9.3646334000000024</v>
      </c>
      <c r="H29" s="363">
        <f t="shared" si="10"/>
        <v>-164.83283718999991</v>
      </c>
      <c r="I29" s="363">
        <f t="shared" si="10"/>
        <v>-124.79086321999995</v>
      </c>
      <c r="J29" s="363">
        <f t="shared" si="10"/>
        <v>-34.870594433000008</v>
      </c>
      <c r="K29" s="363">
        <f t="shared" si="10"/>
        <v>-39.35620504000002</v>
      </c>
      <c r="L29" s="363">
        <f t="shared" si="10"/>
        <v>-62.908013369999992</v>
      </c>
      <c r="M29" s="363">
        <f t="shared" si="10"/>
        <v>-37.025320136999994</v>
      </c>
      <c r="N29" s="363">
        <f t="shared" si="10"/>
        <v>-217.18689236600011</v>
      </c>
      <c r="O29" s="364">
        <f t="shared" ref="O29:O43" si="11">SUM(C29:N29)</f>
        <v>-825.27302748599982</v>
      </c>
      <c r="P29" s="2"/>
      <c r="Q29" s="361"/>
    </row>
    <row r="30" spans="1:17" ht="21" customHeight="1">
      <c r="A30" s="2"/>
      <c r="B30" s="374" t="s">
        <v>330</v>
      </c>
      <c r="C30" s="363">
        <f t="shared" ref="C30:N30" si="12">C29-C13</f>
        <v>-69.390310100000008</v>
      </c>
      <c r="D30" s="363">
        <f t="shared" si="12"/>
        <v>-54.429563810000026</v>
      </c>
      <c r="E30" s="363">
        <f t="shared" si="12"/>
        <v>-71.764553399999983</v>
      </c>
      <c r="F30" s="363">
        <f t="shared" si="12"/>
        <v>40.083198570000121</v>
      </c>
      <c r="G30" s="363">
        <f t="shared" si="12"/>
        <v>-11.794434440000002</v>
      </c>
      <c r="H30" s="363">
        <f t="shared" si="12"/>
        <v>-167.42332004999992</v>
      </c>
      <c r="I30" s="363">
        <f t="shared" si="12"/>
        <v>-128.43665612999996</v>
      </c>
      <c r="J30" s="363">
        <f t="shared" si="12"/>
        <v>-39.303834433000006</v>
      </c>
      <c r="K30" s="363">
        <f t="shared" si="12"/>
        <v>-67.515735040000024</v>
      </c>
      <c r="L30" s="363">
        <f t="shared" si="12"/>
        <v>-69.362493369999996</v>
      </c>
      <c r="M30" s="363">
        <f t="shared" si="12"/>
        <v>-41.274890136999993</v>
      </c>
      <c r="N30" s="363">
        <f t="shared" si="12"/>
        <v>-253.45241236600009</v>
      </c>
      <c r="O30" s="364">
        <f t="shared" si="11"/>
        <v>-934.06500470599985</v>
      </c>
      <c r="P30" s="2"/>
      <c r="Q30" s="361"/>
    </row>
    <row r="31" spans="1:17" ht="21" customHeight="1">
      <c r="A31" s="2"/>
      <c r="B31" s="374" t="s">
        <v>355</v>
      </c>
      <c r="C31" s="363">
        <f t="shared" ref="C31:N31" si="13">C29-C48</f>
        <v>-94.798353230000004</v>
      </c>
      <c r="D31" s="363">
        <f t="shared" si="13"/>
        <v>-74.933323410000028</v>
      </c>
      <c r="E31" s="363">
        <f t="shared" si="13"/>
        <v>-94.284066349999975</v>
      </c>
      <c r="F31" s="363">
        <f t="shared" si="13"/>
        <v>20.52972466000012</v>
      </c>
      <c r="G31" s="363">
        <f t="shared" si="13"/>
        <v>-37.004978399999999</v>
      </c>
      <c r="H31" s="363">
        <f t="shared" si="13"/>
        <v>-192.29276233999991</v>
      </c>
      <c r="I31" s="363">
        <f t="shared" si="13"/>
        <v>-151.89261140999994</v>
      </c>
      <c r="J31" s="363">
        <f t="shared" si="13"/>
        <v>-62.30129821300001</v>
      </c>
      <c r="K31" s="363">
        <f t="shared" si="13"/>
        <v>-66.170200020000024</v>
      </c>
      <c r="L31" s="363">
        <f t="shared" si="13"/>
        <v>-90.680351739999992</v>
      </c>
      <c r="M31" s="363">
        <f t="shared" si="13"/>
        <v>-64.778883726999993</v>
      </c>
      <c r="N31" s="363">
        <f t="shared" si="13"/>
        <v>-262.60277805600009</v>
      </c>
      <c r="O31" s="364">
        <f t="shared" si="11"/>
        <v>-1171.2098822359999</v>
      </c>
      <c r="P31" s="2"/>
      <c r="Q31" s="361"/>
    </row>
    <row r="32" spans="1:17" ht="24.95" customHeight="1">
      <c r="A32" s="2"/>
      <c r="B32" s="362" t="s">
        <v>332</v>
      </c>
      <c r="C32" s="363">
        <f>SUM(C33:C34)</f>
        <v>2.2825000000000024</v>
      </c>
      <c r="D32" s="363">
        <f t="shared" ref="D32:N32" si="14">SUM(D33:D34)</f>
        <v>-7.8533867999999973</v>
      </c>
      <c r="E32" s="363">
        <f t="shared" si="14"/>
        <v>183.89336500000002</v>
      </c>
      <c r="F32" s="363">
        <f t="shared" si="14"/>
        <v>19.712600000000002</v>
      </c>
      <c r="G32" s="363">
        <f t="shared" si="14"/>
        <v>-8.1999999999999957</v>
      </c>
      <c r="H32" s="363">
        <f t="shared" si="14"/>
        <v>-6.9225597499999996</v>
      </c>
      <c r="I32" s="363">
        <f t="shared" si="14"/>
        <v>-18.760510890000003</v>
      </c>
      <c r="J32" s="363">
        <f t="shared" si="14"/>
        <v>-0.27369999999999983</v>
      </c>
      <c r="K32" s="363">
        <f t="shared" si="14"/>
        <v>-15.208100000000002</v>
      </c>
      <c r="L32" s="363">
        <f t="shared" si="14"/>
        <v>287.38774939999996</v>
      </c>
      <c r="M32" s="363">
        <f t="shared" si="14"/>
        <v>-28.83003003</v>
      </c>
      <c r="N32" s="363">
        <f t="shared" si="14"/>
        <v>377.90000000000003</v>
      </c>
      <c r="O32" s="364">
        <f t="shared" si="11"/>
        <v>785.12792693000006</v>
      </c>
      <c r="P32" s="2"/>
      <c r="Q32" s="361"/>
    </row>
    <row r="33" spans="1:17" ht="15.75">
      <c r="A33" s="2"/>
      <c r="B33" s="365" t="s">
        <v>276</v>
      </c>
      <c r="C33" s="366">
        <v>20.3</v>
      </c>
      <c r="D33" s="366">
        <v>14.930100000000001</v>
      </c>
      <c r="E33" s="366">
        <v>209.89136500000001</v>
      </c>
      <c r="F33" s="366">
        <v>41.5351</v>
      </c>
      <c r="G33" s="366">
        <v>23.200000000000003</v>
      </c>
      <c r="H33" s="366">
        <v>13.1</v>
      </c>
      <c r="I33" s="366">
        <v>5.1781381099999999</v>
      </c>
      <c r="J33" s="366">
        <v>11.299999999999999</v>
      </c>
      <c r="K33" s="366">
        <v>13.091899999999999</v>
      </c>
      <c r="L33" s="366">
        <v>309.76149939999999</v>
      </c>
      <c r="M33" s="366">
        <v>4.5318169199999998</v>
      </c>
      <c r="N33" s="366">
        <v>409.40000000000003</v>
      </c>
      <c r="O33" s="367">
        <f t="shared" si="11"/>
        <v>1076.2199194300001</v>
      </c>
      <c r="P33" s="329"/>
      <c r="Q33" s="361"/>
    </row>
    <row r="34" spans="1:17" ht="15.75">
      <c r="A34" s="2"/>
      <c r="B34" s="365" t="s">
        <v>277</v>
      </c>
      <c r="C34" s="366">
        <v>-18.017499999999998</v>
      </c>
      <c r="D34" s="366">
        <v>-22.783486799999999</v>
      </c>
      <c r="E34" s="366">
        <v>-25.998000000000001</v>
      </c>
      <c r="F34" s="366">
        <v>-21.822499999999998</v>
      </c>
      <c r="G34" s="366">
        <v>-31.4</v>
      </c>
      <c r="H34" s="366">
        <v>-20.022559749999999</v>
      </c>
      <c r="I34" s="366">
        <v>-23.938649000000002</v>
      </c>
      <c r="J34" s="366">
        <v>-11.573699999999999</v>
      </c>
      <c r="K34" s="366">
        <v>-28.3</v>
      </c>
      <c r="L34" s="366">
        <v>-22.373750000000001</v>
      </c>
      <c r="M34" s="366">
        <v>-33.36184695</v>
      </c>
      <c r="N34" s="366">
        <v>-31.5</v>
      </c>
      <c r="O34" s="367">
        <f t="shared" si="11"/>
        <v>-291.0919925</v>
      </c>
      <c r="P34" s="329"/>
      <c r="Q34" s="361"/>
    </row>
    <row r="35" spans="1:17" ht="24.95" customHeight="1">
      <c r="A35" s="2"/>
      <c r="B35" s="362" t="s">
        <v>333</v>
      </c>
      <c r="C35" s="363">
        <f>SUM(C36:C42)</f>
        <v>65.00964823000001</v>
      </c>
      <c r="D35" s="363">
        <f t="shared" ref="D35:N35" si="15">SUM(D36:D42)</f>
        <v>55.177735210000023</v>
      </c>
      <c r="E35" s="363">
        <f t="shared" si="15"/>
        <v>-116.65961365000004</v>
      </c>
      <c r="F35" s="363">
        <f t="shared" si="15"/>
        <v>-66.625179660000128</v>
      </c>
      <c r="G35" s="363">
        <f t="shared" si="15"/>
        <v>17.564633399999991</v>
      </c>
      <c r="H35" s="363">
        <f t="shared" si="15"/>
        <v>171.75539693999991</v>
      </c>
      <c r="I35" s="363">
        <f t="shared" si="15"/>
        <v>143.55137410999998</v>
      </c>
      <c r="J35" s="363">
        <f t="shared" si="15"/>
        <v>35.144294433000006</v>
      </c>
      <c r="K35" s="363">
        <f t="shared" si="15"/>
        <v>54.564305040000022</v>
      </c>
      <c r="L35" s="363">
        <f t="shared" si="15"/>
        <v>-224.47973602999997</v>
      </c>
      <c r="M35" s="363">
        <f t="shared" si="15"/>
        <v>65.855350166999983</v>
      </c>
      <c r="N35" s="363">
        <f t="shared" si="15"/>
        <v>-160.71310763399993</v>
      </c>
      <c r="O35" s="364">
        <f t="shared" si="11"/>
        <v>40.145100555999875</v>
      </c>
      <c r="P35" s="2"/>
      <c r="Q35" s="361"/>
    </row>
    <row r="36" spans="1:17" ht="15.75">
      <c r="A36" s="2"/>
      <c r="B36" s="365" t="s">
        <v>279</v>
      </c>
      <c r="C36" s="375">
        <v>182.98</v>
      </c>
      <c r="D36" s="375">
        <v>8.4659999999999993</v>
      </c>
      <c r="E36" s="375">
        <v>-78.55</v>
      </c>
      <c r="F36" s="375">
        <v>4.8970000000000002</v>
      </c>
      <c r="G36" s="375">
        <v>-375.06200000000001</v>
      </c>
      <c r="H36" s="375">
        <v>166.9</v>
      </c>
      <c r="I36" s="375">
        <v>119.46800000000002</v>
      </c>
      <c r="J36" s="375">
        <v>18.677</v>
      </c>
      <c r="K36" s="375">
        <v>78.690000000000012</v>
      </c>
      <c r="L36" s="375">
        <v>-244.28</v>
      </c>
      <c r="M36" s="375">
        <v>94.301000000000002</v>
      </c>
      <c r="N36" s="375">
        <v>-269.98300000000006</v>
      </c>
      <c r="O36" s="367">
        <f t="shared" si="11"/>
        <v>-293.49600000000004</v>
      </c>
      <c r="P36" s="2"/>
      <c r="Q36" s="361"/>
    </row>
    <row r="37" spans="1:17" ht="15.75">
      <c r="A37" s="2"/>
      <c r="B37" s="376" t="s">
        <v>282</v>
      </c>
      <c r="C37" s="375">
        <v>-57.304554700000004</v>
      </c>
      <c r="D37" s="375">
        <v>48.579320929999994</v>
      </c>
      <c r="E37" s="375">
        <v>17.99369436000001</v>
      </c>
      <c r="F37" s="375">
        <v>-51.203574519999989</v>
      </c>
      <c r="G37" s="375">
        <v>343.49754299000006</v>
      </c>
      <c r="H37" s="375">
        <v>-9.6735427000000005</v>
      </c>
      <c r="I37" s="375">
        <v>41.212746410000008</v>
      </c>
      <c r="J37" s="375">
        <v>-29.543816319999998</v>
      </c>
      <c r="K37" s="375">
        <v>-4.8194584100000011</v>
      </c>
      <c r="L37" s="375">
        <v>5.7412806300000074</v>
      </c>
      <c r="M37" s="375">
        <v>-6.7115448400000108</v>
      </c>
      <c r="N37" s="375">
        <v>-58.457000000000008</v>
      </c>
      <c r="O37" s="367">
        <f t="shared" si="11"/>
        <v>239.31109383000012</v>
      </c>
      <c r="P37" s="2"/>
      <c r="Q37" s="361"/>
    </row>
    <row r="38" spans="1:17" ht="15.75">
      <c r="A38" s="2"/>
      <c r="B38" s="376" t="s">
        <v>283</v>
      </c>
      <c r="C38" s="375">
        <v>0</v>
      </c>
      <c r="D38" s="375">
        <v>0</v>
      </c>
      <c r="E38" s="375">
        <v>0</v>
      </c>
      <c r="F38" s="375">
        <v>0</v>
      </c>
      <c r="G38" s="375">
        <v>0</v>
      </c>
      <c r="H38" s="375">
        <v>0</v>
      </c>
      <c r="I38" s="375">
        <v>0</v>
      </c>
      <c r="J38" s="375">
        <v>0</v>
      </c>
      <c r="K38" s="375">
        <v>0</v>
      </c>
      <c r="L38" s="375">
        <v>0</v>
      </c>
      <c r="M38" s="375">
        <v>0</v>
      </c>
      <c r="N38" s="375">
        <v>0</v>
      </c>
      <c r="O38" s="367">
        <f t="shared" si="11"/>
        <v>0</v>
      </c>
      <c r="P38" s="2"/>
      <c r="Q38" s="361"/>
    </row>
    <row r="39" spans="1:17" ht="15.75">
      <c r="A39" s="2"/>
      <c r="B39" s="376" t="s">
        <v>284</v>
      </c>
      <c r="C39" s="375">
        <v>-34.962123800000001</v>
      </c>
      <c r="D39" s="375">
        <v>27.207761649999995</v>
      </c>
      <c r="E39" s="375">
        <v>-23.995943220000001</v>
      </c>
      <c r="F39" s="375">
        <v>26.325637299999997</v>
      </c>
      <c r="G39" s="375">
        <v>71.294148659999991</v>
      </c>
      <c r="H39" s="375">
        <v>22.060092050000002</v>
      </c>
      <c r="I39" s="375">
        <v>26.750073910000005</v>
      </c>
      <c r="J39" s="375">
        <v>44.174097569999994</v>
      </c>
      <c r="K39" s="375">
        <v>52.500243520000005</v>
      </c>
      <c r="L39" s="375">
        <v>41.540013389999999</v>
      </c>
      <c r="M39" s="375">
        <v>-17.522352069999997</v>
      </c>
      <c r="N39" s="375">
        <v>165.75375901999999</v>
      </c>
      <c r="O39" s="367">
        <f t="shared" si="11"/>
        <v>401.12540797999998</v>
      </c>
      <c r="P39" s="2"/>
      <c r="Q39" s="361"/>
    </row>
    <row r="40" spans="1:17" ht="15.75">
      <c r="A40" s="2"/>
      <c r="B40" s="376" t="s">
        <v>334</v>
      </c>
      <c r="C40" s="375">
        <v>0</v>
      </c>
      <c r="D40" s="375">
        <v>0</v>
      </c>
      <c r="E40" s="375">
        <v>0</v>
      </c>
      <c r="F40" s="375">
        <v>0</v>
      </c>
      <c r="G40" s="375">
        <v>0</v>
      </c>
      <c r="H40" s="375">
        <v>0</v>
      </c>
      <c r="I40" s="375">
        <v>0</v>
      </c>
      <c r="J40" s="375">
        <v>0</v>
      </c>
      <c r="K40" s="375">
        <v>0</v>
      </c>
      <c r="L40" s="375">
        <v>0</v>
      </c>
      <c r="M40" s="375">
        <v>0</v>
      </c>
      <c r="N40" s="375">
        <v>0</v>
      </c>
      <c r="O40" s="367">
        <f t="shared" si="11"/>
        <v>0</v>
      </c>
      <c r="P40" s="2"/>
      <c r="Q40" s="361"/>
    </row>
    <row r="41" spans="1:17" ht="15.75">
      <c r="A41" s="2"/>
      <c r="B41" s="376" t="s">
        <v>335</v>
      </c>
      <c r="C41" s="375">
        <v>-27.506205000000001</v>
      </c>
      <c r="D41" s="375">
        <v>-27.608975000000001</v>
      </c>
      <c r="E41" s="375">
        <v>-27.050315000000001</v>
      </c>
      <c r="F41" s="375">
        <v>-26.382854999999999</v>
      </c>
      <c r="G41" s="375">
        <v>-27.640345</v>
      </c>
      <c r="H41" s="375">
        <v>-27.45992515</v>
      </c>
      <c r="I41" s="375">
        <v>-27.101748190000002</v>
      </c>
      <c r="J41" s="375">
        <v>-27.430703780000002</v>
      </c>
      <c r="K41" s="375">
        <v>-26.81399498</v>
      </c>
      <c r="L41" s="375">
        <v>-27.77233837</v>
      </c>
      <c r="M41" s="375">
        <v>-27.753563589999999</v>
      </c>
      <c r="N41" s="375">
        <v>-45.415885689999996</v>
      </c>
      <c r="O41" s="367">
        <f t="shared" si="11"/>
        <v>-345.93685474999995</v>
      </c>
      <c r="P41" s="2"/>
      <c r="Q41" s="361"/>
    </row>
    <row r="42" spans="1:17" ht="15.75">
      <c r="A42" s="2"/>
      <c r="B42" s="376" t="s">
        <v>336</v>
      </c>
      <c r="C42" s="375">
        <v>1.8025317300000268</v>
      </c>
      <c r="D42" s="375">
        <v>-1.4663723699999593</v>
      </c>
      <c r="E42" s="375">
        <v>-5.0570497900000504</v>
      </c>
      <c r="F42" s="375">
        <v>-20.261387440000128</v>
      </c>
      <c r="G42" s="375">
        <v>5.475286749999956</v>
      </c>
      <c r="H42" s="375">
        <v>19.928772739999914</v>
      </c>
      <c r="I42" s="375">
        <v>-16.777698020000059</v>
      </c>
      <c r="J42" s="375">
        <v>29.267716963000012</v>
      </c>
      <c r="K42" s="375">
        <v>-44.992485089999988</v>
      </c>
      <c r="L42" s="375">
        <v>0.29130832000002727</v>
      </c>
      <c r="M42" s="375">
        <v>23.541810667</v>
      </c>
      <c r="N42" s="375">
        <v>47.38901903600015</v>
      </c>
      <c r="O42" s="367">
        <f t="shared" si="11"/>
        <v>39.141453495999905</v>
      </c>
      <c r="P42" s="2"/>
      <c r="Q42" s="361"/>
    </row>
    <row r="43" spans="1:17" ht="24.95" customHeight="1" thickBot="1">
      <c r="A43" s="2"/>
      <c r="B43" s="377" t="s">
        <v>337</v>
      </c>
      <c r="C43" s="378">
        <f t="shared" ref="C43:N43" si="16">-C29-C32-C35</f>
        <v>0</v>
      </c>
      <c r="D43" s="378">
        <f t="shared" si="16"/>
        <v>0</v>
      </c>
      <c r="E43" s="378">
        <f t="shared" si="16"/>
        <v>0</v>
      </c>
      <c r="F43" s="378">
        <f t="shared" si="16"/>
        <v>0</v>
      </c>
      <c r="G43" s="378">
        <f t="shared" si="16"/>
        <v>0</v>
      </c>
      <c r="H43" s="378">
        <f t="shared" si="16"/>
        <v>0</v>
      </c>
      <c r="I43" s="378">
        <f t="shared" si="16"/>
        <v>0</v>
      </c>
      <c r="J43" s="378">
        <f t="shared" si="16"/>
        <v>0</v>
      </c>
      <c r="K43" s="378">
        <f t="shared" si="16"/>
        <v>0</v>
      </c>
      <c r="L43" s="378">
        <f t="shared" si="16"/>
        <v>0</v>
      </c>
      <c r="M43" s="378">
        <f t="shared" si="16"/>
        <v>0</v>
      </c>
      <c r="N43" s="378">
        <f t="shared" si="16"/>
        <v>0</v>
      </c>
      <c r="O43" s="379">
        <f t="shared" si="11"/>
        <v>0</v>
      </c>
      <c r="P43" s="2"/>
      <c r="Q43" s="361"/>
    </row>
    <row r="44" spans="1:17" ht="15.75">
      <c r="A44" s="2"/>
      <c r="B44" s="48" t="s">
        <v>338</v>
      </c>
      <c r="C44" s="380"/>
      <c r="D44" s="380"/>
      <c r="E44" s="380"/>
      <c r="F44" s="380"/>
      <c r="G44" s="380"/>
      <c r="H44" s="380"/>
      <c r="I44" s="380"/>
      <c r="J44" s="380"/>
      <c r="K44" s="380"/>
      <c r="L44" s="380"/>
      <c r="M44" s="380"/>
      <c r="N44" s="380"/>
      <c r="O44" s="268"/>
      <c r="P44" s="2"/>
      <c r="Q44" s="361"/>
    </row>
    <row r="45" spans="1:17" ht="15.75">
      <c r="A45" s="2"/>
      <c r="B45" s="48" t="s">
        <v>356</v>
      </c>
      <c r="C45" s="380"/>
      <c r="D45" s="380"/>
      <c r="E45" s="380"/>
      <c r="F45" s="380"/>
      <c r="G45" s="380"/>
      <c r="H45" s="380"/>
      <c r="I45" s="380"/>
      <c r="J45" s="380"/>
      <c r="K45" s="380"/>
      <c r="L45" s="380"/>
      <c r="M45" s="380"/>
      <c r="N45" s="380"/>
      <c r="O45" s="268"/>
      <c r="P45" s="2"/>
      <c r="Q45" s="361"/>
    </row>
    <row r="46" spans="1:17">
      <c r="A46" s="2"/>
      <c r="B46" s="329"/>
      <c r="C46" s="268"/>
      <c r="D46" s="268"/>
      <c r="E46" s="268"/>
      <c r="F46" s="268"/>
      <c r="G46" s="268"/>
      <c r="H46" s="268"/>
      <c r="I46" s="268"/>
      <c r="J46" s="268"/>
      <c r="K46" s="268"/>
      <c r="L46" s="268"/>
      <c r="M46" s="268"/>
      <c r="N46" s="268"/>
      <c r="O46" s="268"/>
      <c r="P46" s="2"/>
      <c r="Q46" s="361"/>
    </row>
    <row r="47" spans="1:17" ht="16.5" thickBot="1">
      <c r="A47" s="2"/>
      <c r="B47" s="353" t="s">
        <v>340</v>
      </c>
      <c r="C47" s="268"/>
      <c r="D47" s="268"/>
      <c r="E47" s="268"/>
      <c r="F47" s="268"/>
      <c r="G47" s="268"/>
      <c r="H47" s="268"/>
      <c r="I47" s="268"/>
      <c r="J47" s="268"/>
      <c r="K47" s="268"/>
      <c r="L47" s="268"/>
      <c r="M47" s="268"/>
      <c r="N47" s="268"/>
      <c r="O47" s="268"/>
      <c r="P47" s="268"/>
      <c r="Q47" s="361"/>
    </row>
    <row r="48" spans="1:17" ht="24.95" customHeight="1">
      <c r="A48" s="2"/>
      <c r="B48" s="381" t="s">
        <v>357</v>
      </c>
      <c r="C48" s="382">
        <v>27.506205000000001</v>
      </c>
      <c r="D48" s="383">
        <v>27.608975000000001</v>
      </c>
      <c r="E48" s="383">
        <v>27.050315000000001</v>
      </c>
      <c r="F48" s="383">
        <v>26.382854999999999</v>
      </c>
      <c r="G48" s="383">
        <v>27.640345</v>
      </c>
      <c r="H48" s="383">
        <v>27.45992515</v>
      </c>
      <c r="I48" s="383">
        <v>27.101748190000002</v>
      </c>
      <c r="J48" s="383">
        <v>27.430703780000002</v>
      </c>
      <c r="K48" s="383">
        <v>26.81399498</v>
      </c>
      <c r="L48" s="383">
        <v>27.77233837</v>
      </c>
      <c r="M48" s="383">
        <v>27.753563589999999</v>
      </c>
      <c r="N48" s="384">
        <v>45.415885689999996</v>
      </c>
      <c r="O48" s="385">
        <f>SUM(C48:N48)</f>
        <v>345.93685474999995</v>
      </c>
      <c r="P48" s="268"/>
      <c r="Q48" s="361"/>
    </row>
    <row r="49" spans="1:17" ht="24.95" customHeight="1" thickBot="1">
      <c r="A49" s="2"/>
      <c r="B49" s="386" t="s">
        <v>344</v>
      </c>
      <c r="C49" s="387">
        <v>6.3599669999999997E-2</v>
      </c>
      <c r="D49" s="378">
        <v>17.53460261</v>
      </c>
      <c r="E49" s="378">
        <v>3.0724997599999999</v>
      </c>
      <c r="F49" s="378">
        <v>0.1171</v>
      </c>
      <c r="G49" s="378">
        <v>3.3893224499999999</v>
      </c>
      <c r="H49" s="378"/>
      <c r="I49" s="378"/>
      <c r="J49" s="378"/>
      <c r="K49" s="378"/>
      <c r="L49" s="378"/>
      <c r="M49" s="378"/>
      <c r="N49" s="388"/>
      <c r="O49" s="389">
        <f>SUM(C49:N49)</f>
        <v>24.177124489999997</v>
      </c>
      <c r="P49" s="268"/>
      <c r="Q49" s="361"/>
    </row>
    <row r="50" spans="1:17" ht="15.75">
      <c r="B50" s="353" t="s">
        <v>18</v>
      </c>
      <c r="C50" s="268"/>
      <c r="D50" s="268"/>
      <c r="E50" s="268"/>
      <c r="F50" s="268"/>
      <c r="G50" s="268"/>
      <c r="H50" s="268"/>
      <c r="I50" s="268"/>
      <c r="J50" s="268"/>
      <c r="K50" s="268"/>
      <c r="L50" s="268"/>
      <c r="M50" s="268"/>
      <c r="N50" s="268"/>
      <c r="O50" s="268"/>
      <c r="P50" s="9"/>
    </row>
    <row r="51" spans="1:17" ht="15.75">
      <c r="B51" s="353" t="s">
        <v>358</v>
      </c>
      <c r="C51" s="268"/>
      <c r="D51" s="268"/>
      <c r="E51" s="268"/>
      <c r="F51" s="268"/>
      <c r="G51" s="268"/>
      <c r="H51" s="268"/>
      <c r="I51" s="268"/>
      <c r="J51" s="268"/>
      <c r="K51" s="268"/>
      <c r="L51" s="268"/>
      <c r="M51" s="268"/>
      <c r="N51" s="268"/>
      <c r="O51" s="268"/>
      <c r="P51" s="9"/>
    </row>
    <row r="52" spans="1:17" ht="15.75">
      <c r="B52" s="353" t="s">
        <v>55</v>
      </c>
      <c r="C52" s="2"/>
      <c r="D52" s="2"/>
      <c r="E52" s="2"/>
      <c r="F52" s="2"/>
      <c r="G52" s="2"/>
      <c r="H52" s="2"/>
      <c r="I52" s="2"/>
      <c r="J52" s="2"/>
      <c r="K52" s="2"/>
      <c r="L52" s="2"/>
      <c r="M52" s="2"/>
      <c r="N52" s="2"/>
      <c r="O52" s="2"/>
    </row>
    <row r="53" spans="1:17" ht="15.75" thickBot="1">
      <c r="B53" s="2"/>
      <c r="C53" s="2"/>
      <c r="D53" s="2"/>
      <c r="E53" s="2"/>
      <c r="F53" s="2"/>
      <c r="G53" s="2"/>
      <c r="H53" s="2"/>
      <c r="I53" s="2"/>
      <c r="J53" s="2"/>
      <c r="K53" s="2"/>
      <c r="L53" s="2"/>
      <c r="M53" s="2"/>
      <c r="N53" s="2"/>
      <c r="O53" s="2"/>
    </row>
    <row r="54" spans="1:17" ht="31.5">
      <c r="B54" s="355" t="s">
        <v>238</v>
      </c>
      <c r="C54" s="356" t="s">
        <v>59</v>
      </c>
      <c r="D54" s="356" t="s">
        <v>60</v>
      </c>
      <c r="E54" s="356" t="s">
        <v>61</v>
      </c>
      <c r="F54" s="356" t="s">
        <v>62</v>
      </c>
      <c r="G54" s="356" t="s">
        <v>63</v>
      </c>
      <c r="H54" s="356" t="s">
        <v>64</v>
      </c>
      <c r="I54" s="356" t="s">
        <v>65</v>
      </c>
      <c r="J54" s="356" t="s">
        <v>66</v>
      </c>
      <c r="K54" s="356" t="s">
        <v>67</v>
      </c>
      <c r="L54" s="356" t="s">
        <v>68</v>
      </c>
      <c r="M54" s="356" t="s">
        <v>69</v>
      </c>
      <c r="N54" s="356" t="s">
        <v>70</v>
      </c>
      <c r="O54" s="357" t="s">
        <v>350</v>
      </c>
    </row>
    <row r="55" spans="1:17" ht="15.75">
      <c r="B55" s="358"/>
      <c r="C55" s="359"/>
      <c r="D55" s="359"/>
      <c r="E55" s="359"/>
      <c r="F55" s="359"/>
      <c r="G55" s="359"/>
      <c r="H55" s="359"/>
      <c r="I55" s="359"/>
      <c r="J55" s="359"/>
      <c r="K55" s="359"/>
      <c r="L55" s="359"/>
      <c r="M55" s="359"/>
      <c r="N55" s="359"/>
      <c r="O55" s="360"/>
    </row>
    <row r="56" spans="1:17" ht="24.95" customHeight="1">
      <c r="B56" s="390" t="s">
        <v>239</v>
      </c>
      <c r="C56" s="391">
        <f t="shared" ref="C56:O71" si="17">C7/$O$92</f>
        <v>1.8062919169371909E-2</v>
      </c>
      <c r="D56" s="391">
        <f t="shared" si="17"/>
        <v>1.5393436005322237E-2</v>
      </c>
      <c r="E56" s="391">
        <f t="shared" si="17"/>
        <v>1.5677629926677202E-2</v>
      </c>
      <c r="F56" s="391">
        <f t="shared" si="17"/>
        <v>2.5229234654537483E-2</v>
      </c>
      <c r="G56" s="391">
        <f t="shared" si="17"/>
        <v>1.6077520213480349E-2</v>
      </c>
      <c r="H56" s="391">
        <f t="shared" si="17"/>
        <v>1.5542451555595454E-2</v>
      </c>
      <c r="I56" s="391">
        <f t="shared" si="17"/>
        <v>1.5990520099854445E-2</v>
      </c>
      <c r="J56" s="391">
        <f t="shared" si="17"/>
        <v>1.5538575135129606E-2</v>
      </c>
      <c r="K56" s="391">
        <f t="shared" si="17"/>
        <v>1.5975996192395928E-2</v>
      </c>
      <c r="L56" s="391">
        <f t="shared" si="17"/>
        <v>1.5650050057892401E-2</v>
      </c>
      <c r="M56" s="391">
        <f t="shared" si="17"/>
        <v>1.4964428364718703E-2</v>
      </c>
      <c r="N56" s="391">
        <f t="shared" si="17"/>
        <v>2.1923398123809057E-2</v>
      </c>
      <c r="O56" s="392">
        <f t="shared" si="17"/>
        <v>0.20602615949878475</v>
      </c>
    </row>
    <row r="57" spans="1:17" ht="21" customHeight="1">
      <c r="B57" s="376" t="s">
        <v>240</v>
      </c>
      <c r="C57" s="393">
        <f t="shared" si="17"/>
        <v>1.794371639883147E-2</v>
      </c>
      <c r="D57" s="393">
        <f t="shared" si="17"/>
        <v>1.4989767740696594E-2</v>
      </c>
      <c r="E57" s="393">
        <f t="shared" si="17"/>
        <v>1.5420221685276696E-2</v>
      </c>
      <c r="F57" s="393">
        <f t="shared" si="17"/>
        <v>2.4841237351448334E-2</v>
      </c>
      <c r="G57" s="393">
        <f t="shared" si="17"/>
        <v>1.5938061115965463E-2</v>
      </c>
      <c r="H57" s="393">
        <f t="shared" si="17"/>
        <v>1.5394439035725122E-2</v>
      </c>
      <c r="I57" s="393">
        <f t="shared" si="17"/>
        <v>1.5783391840637397E-2</v>
      </c>
      <c r="J57" s="393">
        <f t="shared" si="17"/>
        <v>1.5286709681836102E-2</v>
      </c>
      <c r="K57" s="393">
        <f t="shared" si="17"/>
        <v>1.4376170153656312E-2</v>
      </c>
      <c r="L57" s="393">
        <f t="shared" si="17"/>
        <v>1.5283351992600683E-2</v>
      </c>
      <c r="M57" s="393">
        <f t="shared" si="17"/>
        <v>1.4722997746400616E-2</v>
      </c>
      <c r="N57" s="393">
        <f t="shared" si="17"/>
        <v>1.9862955959962778E-2</v>
      </c>
      <c r="O57" s="394">
        <f t="shared" si="17"/>
        <v>0.19984302070303755</v>
      </c>
    </row>
    <row r="58" spans="1:17" ht="18.75">
      <c r="B58" s="371" t="s">
        <v>351</v>
      </c>
      <c r="C58" s="393">
        <f t="shared" si="17"/>
        <v>1.4838276618856672E-2</v>
      </c>
      <c r="D58" s="393">
        <f t="shared" si="17"/>
        <v>1.2154251324593987E-2</v>
      </c>
      <c r="E58" s="393">
        <f t="shared" si="17"/>
        <v>1.2349166905659821E-2</v>
      </c>
      <c r="F58" s="393">
        <f t="shared" si="17"/>
        <v>2.2253886590552462E-2</v>
      </c>
      <c r="G58" s="393">
        <f t="shared" si="17"/>
        <v>1.2957923879733799E-2</v>
      </c>
      <c r="H58" s="393">
        <f t="shared" si="17"/>
        <v>1.2557213680899825E-2</v>
      </c>
      <c r="I58" s="393">
        <f t="shared" si="17"/>
        <v>1.275630879430416E-2</v>
      </c>
      <c r="J58" s="393">
        <f t="shared" si="17"/>
        <v>1.2340664640527405E-2</v>
      </c>
      <c r="K58" s="393">
        <f t="shared" si="17"/>
        <v>1.1689404538900399E-2</v>
      </c>
      <c r="L58" s="393">
        <f t="shared" si="17"/>
        <v>1.2570773904333806E-2</v>
      </c>
      <c r="M58" s="393">
        <f t="shared" si="17"/>
        <v>1.1940869613706011E-2</v>
      </c>
      <c r="N58" s="393">
        <f t="shared" si="17"/>
        <v>1.2711152226897298E-2</v>
      </c>
      <c r="O58" s="394">
        <f t="shared" si="17"/>
        <v>0.16111989271896565</v>
      </c>
    </row>
    <row r="59" spans="1:17" ht="15.75">
      <c r="B59" s="371" t="s">
        <v>317</v>
      </c>
      <c r="C59" s="393">
        <f t="shared" si="17"/>
        <v>2.3202346852164747E-3</v>
      </c>
      <c r="D59" s="393">
        <f t="shared" si="17"/>
        <v>2.346378490729831E-3</v>
      </c>
      <c r="E59" s="393">
        <f t="shared" si="17"/>
        <v>2.478513043685752E-3</v>
      </c>
      <c r="F59" s="393">
        <f t="shared" si="17"/>
        <v>2.1847418612604974E-3</v>
      </c>
      <c r="G59" s="393">
        <f t="shared" si="17"/>
        <v>2.5624341532199876E-3</v>
      </c>
      <c r="H59" s="393">
        <f t="shared" si="17"/>
        <v>2.3346231568457899E-3</v>
      </c>
      <c r="I59" s="393">
        <f t="shared" si="17"/>
        <v>2.3087621559833701E-3</v>
      </c>
      <c r="J59" s="393">
        <f t="shared" si="17"/>
        <v>2.2375590996737802E-3</v>
      </c>
      <c r="K59" s="393">
        <f t="shared" si="17"/>
        <v>2.3339002790652222E-3</v>
      </c>
      <c r="L59" s="393">
        <f t="shared" si="17"/>
        <v>2.3293430678539818E-3</v>
      </c>
      <c r="M59" s="393">
        <f t="shared" si="17"/>
        <v>2.2659549393180857E-3</v>
      </c>
      <c r="N59" s="393">
        <f t="shared" si="17"/>
        <v>6.8497086893138251E-3</v>
      </c>
      <c r="O59" s="394">
        <f t="shared" si="17"/>
        <v>3.2552153622166596E-2</v>
      </c>
    </row>
    <row r="60" spans="1:17" ht="15.75">
      <c r="B60" s="371" t="s">
        <v>318</v>
      </c>
      <c r="C60" s="393">
        <f t="shared" si="17"/>
        <v>7.8520509475832367E-4</v>
      </c>
      <c r="D60" s="393">
        <f t="shared" si="17"/>
        <v>4.8913792537277824E-4</v>
      </c>
      <c r="E60" s="393">
        <f t="shared" si="17"/>
        <v>5.9254173593112467E-4</v>
      </c>
      <c r="F60" s="393">
        <f t="shared" si="17"/>
        <v>4.0260889963537449E-4</v>
      </c>
      <c r="G60" s="393">
        <f t="shared" si="17"/>
        <v>4.177030830116774E-4</v>
      </c>
      <c r="H60" s="393">
        <f t="shared" si="17"/>
        <v>5.0260219797950442E-4</v>
      </c>
      <c r="I60" s="393">
        <f t="shared" si="17"/>
        <v>7.1832089034986561E-4</v>
      </c>
      <c r="J60" s="393">
        <f t="shared" si="17"/>
        <v>7.0848594163491784E-4</v>
      </c>
      <c r="K60" s="393">
        <f t="shared" si="17"/>
        <v>3.5286533569069215E-4</v>
      </c>
      <c r="L60" s="393">
        <f t="shared" si="17"/>
        <v>3.8323502041289387E-4</v>
      </c>
      <c r="M60" s="393">
        <f t="shared" si="17"/>
        <v>5.161731933765191E-4</v>
      </c>
      <c r="N60" s="393">
        <f t="shared" si="17"/>
        <v>3.0209504375165459E-4</v>
      </c>
      <c r="O60" s="394">
        <f t="shared" si="17"/>
        <v>6.1709743619053261E-3</v>
      </c>
    </row>
    <row r="61" spans="1:17" ht="21" customHeight="1">
      <c r="B61" s="376" t="s">
        <v>244</v>
      </c>
      <c r="C61" s="393">
        <f t="shared" si="17"/>
        <v>0</v>
      </c>
      <c r="D61" s="393">
        <f t="shared" si="17"/>
        <v>0</v>
      </c>
      <c r="E61" s="393">
        <f t="shared" si="17"/>
        <v>0</v>
      </c>
      <c r="F61" s="393">
        <f t="shared" si="17"/>
        <v>0</v>
      </c>
      <c r="G61" s="393">
        <f t="shared" si="17"/>
        <v>1.4149265806215564E-6</v>
      </c>
      <c r="H61" s="393">
        <f t="shared" si="17"/>
        <v>8.3954033776436493E-7</v>
      </c>
      <c r="I61" s="393">
        <f t="shared" si="17"/>
        <v>0</v>
      </c>
      <c r="J61" s="393">
        <f t="shared" si="17"/>
        <v>0</v>
      </c>
      <c r="K61" s="393">
        <f t="shared" si="17"/>
        <v>0</v>
      </c>
      <c r="L61" s="393">
        <f t="shared" si="17"/>
        <v>0</v>
      </c>
      <c r="M61" s="393">
        <f t="shared" si="17"/>
        <v>0</v>
      </c>
      <c r="N61" s="393">
        <f t="shared" si="17"/>
        <v>9.0900723910640055E-8</v>
      </c>
      <c r="O61" s="394">
        <f t="shared" si="17"/>
        <v>2.3453676422965612E-6</v>
      </c>
    </row>
    <row r="62" spans="1:17" ht="21" customHeight="1">
      <c r="B62" s="376" t="s">
        <v>245</v>
      </c>
      <c r="C62" s="393">
        <f t="shared" si="17"/>
        <v>1.1920277054043891E-4</v>
      </c>
      <c r="D62" s="393">
        <f t="shared" si="17"/>
        <v>4.036682646256424E-4</v>
      </c>
      <c r="E62" s="393">
        <f t="shared" si="17"/>
        <v>2.5740824140050748E-4</v>
      </c>
      <c r="F62" s="393">
        <f t="shared" si="17"/>
        <v>3.8799730308914754E-4</v>
      </c>
      <c r="G62" s="393">
        <f t="shared" si="17"/>
        <v>1.3804417093426626E-4</v>
      </c>
      <c r="H62" s="393">
        <f t="shared" si="17"/>
        <v>1.4717297953256578E-4</v>
      </c>
      <c r="I62" s="393">
        <f t="shared" si="17"/>
        <v>2.0712825921704935E-4</v>
      </c>
      <c r="J62" s="393">
        <f t="shared" si="17"/>
        <v>2.5186545329350363E-4</v>
      </c>
      <c r="K62" s="393">
        <f t="shared" si="17"/>
        <v>1.5998260387396161E-3</v>
      </c>
      <c r="L62" s="393">
        <f t="shared" si="17"/>
        <v>3.666980652917175E-4</v>
      </c>
      <c r="M62" s="393">
        <f t="shared" si="17"/>
        <v>2.4143061831808667E-4</v>
      </c>
      <c r="N62" s="393">
        <f t="shared" si="17"/>
        <v>2.0603512631223717E-3</v>
      </c>
      <c r="O62" s="394">
        <f t="shared" si="17"/>
        <v>6.1807934281049139E-3</v>
      </c>
    </row>
    <row r="63" spans="1:17" ht="24.95" customHeight="1">
      <c r="B63" s="390" t="s">
        <v>246</v>
      </c>
      <c r="C63" s="391">
        <f t="shared" si="17"/>
        <v>2.1885984786627594E-2</v>
      </c>
      <c r="D63" s="391">
        <f t="shared" si="17"/>
        <v>1.8082071960989956E-2</v>
      </c>
      <c r="E63" s="391">
        <f t="shared" si="17"/>
        <v>1.9497377844766559E-2</v>
      </c>
      <c r="F63" s="391">
        <f t="shared" si="17"/>
        <v>2.2563992497281499E-2</v>
      </c>
      <c r="G63" s="391">
        <f t="shared" si="17"/>
        <v>1.6609552685491448E-2</v>
      </c>
      <c r="H63" s="391">
        <f t="shared" si="17"/>
        <v>2.4907091696105242E-2</v>
      </c>
      <c r="I63" s="391">
        <f t="shared" si="17"/>
        <v>2.3080257477436736E-2</v>
      </c>
      <c r="J63" s="391">
        <f t="shared" si="17"/>
        <v>1.7519676558350877E-2</v>
      </c>
      <c r="K63" s="391">
        <f t="shared" si="17"/>
        <v>1.821193839771567E-2</v>
      </c>
      <c r="L63" s="391">
        <f t="shared" si="17"/>
        <v>1.9224040029838164E-2</v>
      </c>
      <c r="M63" s="391">
        <f t="shared" si="17"/>
        <v>1.7067946116891514E-2</v>
      </c>
      <c r="N63" s="391">
        <f t="shared" si="17"/>
        <v>3.4262426711291351E-2</v>
      </c>
      <c r="O63" s="392">
        <f t="shared" si="17"/>
        <v>0.25291235676278656</v>
      </c>
    </row>
    <row r="64" spans="1:17" ht="21" customHeight="1">
      <c r="B64" s="376" t="s">
        <v>247</v>
      </c>
      <c r="C64" s="393">
        <f t="shared" si="17"/>
        <v>2.0229750081526585E-2</v>
      </c>
      <c r="D64" s="393">
        <f t="shared" si="17"/>
        <v>1.4378007529420587E-2</v>
      </c>
      <c r="E64" s="393">
        <f t="shared" si="17"/>
        <v>1.7441671471148678E-2</v>
      </c>
      <c r="F64" s="393">
        <f t="shared" si="17"/>
        <v>1.764158144704862E-2</v>
      </c>
      <c r="G64" s="393">
        <f t="shared" si="17"/>
        <v>1.4213026639593397E-2</v>
      </c>
      <c r="H64" s="393">
        <f t="shared" si="17"/>
        <v>2.1107910873544595E-2</v>
      </c>
      <c r="I64" s="393">
        <f t="shared" si="17"/>
        <v>1.9706286637820834E-2</v>
      </c>
      <c r="J64" s="393">
        <f t="shared" si="17"/>
        <v>1.3993440426108505E-2</v>
      </c>
      <c r="K64" s="393">
        <f t="shared" si="17"/>
        <v>1.5467795338724506E-2</v>
      </c>
      <c r="L64" s="393">
        <f t="shared" si="17"/>
        <v>1.7066007328302737E-2</v>
      </c>
      <c r="M64" s="393">
        <f t="shared" si="17"/>
        <v>1.4879207507604414E-2</v>
      </c>
      <c r="N64" s="393">
        <f t="shared" si="17"/>
        <v>3.0302590816640742E-2</v>
      </c>
      <c r="O64" s="394">
        <f t="shared" si="17"/>
        <v>0.21642727609748422</v>
      </c>
    </row>
    <row r="65" spans="2:15" ht="15.75">
      <c r="B65" s="371" t="s">
        <v>321</v>
      </c>
      <c r="C65" s="393">
        <f t="shared" si="17"/>
        <v>1.0808349880863238E-2</v>
      </c>
      <c r="D65" s="393">
        <f t="shared" si="17"/>
        <v>1.035678579869353E-2</v>
      </c>
      <c r="E65" s="393">
        <f t="shared" si="17"/>
        <v>1.2243452168039078E-2</v>
      </c>
      <c r="F65" s="393">
        <f t="shared" si="17"/>
        <v>1.0344972118475458E-2</v>
      </c>
      <c r="G65" s="393">
        <f t="shared" si="17"/>
        <v>1.0872698517522818E-2</v>
      </c>
      <c r="H65" s="393">
        <f t="shared" si="17"/>
        <v>1.285437713062775E-2</v>
      </c>
      <c r="I65" s="393">
        <f t="shared" si="17"/>
        <v>1.1796613440126535E-2</v>
      </c>
      <c r="J65" s="393">
        <f t="shared" si="17"/>
        <v>1.0599495953951966E-2</v>
      </c>
      <c r="K65" s="393">
        <f t="shared" si="17"/>
        <v>1.1109117726095666E-2</v>
      </c>
      <c r="L65" s="393">
        <f t="shared" si="17"/>
        <v>1.1116493892039482E-2</v>
      </c>
      <c r="M65" s="393">
        <f t="shared" si="17"/>
        <v>1.0637874934807137E-2</v>
      </c>
      <c r="N65" s="393">
        <f t="shared" si="17"/>
        <v>2.1183530634680217E-2</v>
      </c>
      <c r="O65" s="394">
        <f t="shared" si="17"/>
        <v>0.1439237621959229</v>
      </c>
    </row>
    <row r="66" spans="2:15" ht="15.75">
      <c r="B66" s="395" t="s">
        <v>322</v>
      </c>
      <c r="C66" s="393">
        <f t="shared" si="17"/>
        <v>7.3358216973210414E-3</v>
      </c>
      <c r="D66" s="393">
        <f t="shared" si="17"/>
        <v>7.0959383920911829E-3</v>
      </c>
      <c r="E66" s="393">
        <f t="shared" si="17"/>
        <v>7.0645345235268112E-3</v>
      </c>
      <c r="F66" s="393">
        <f t="shared" si="17"/>
        <v>7.1764728518738611E-3</v>
      </c>
      <c r="G66" s="393">
        <f t="shared" si="17"/>
        <v>7.1649812736554923E-3</v>
      </c>
      <c r="H66" s="393">
        <f t="shared" si="17"/>
        <v>8.4575895763003648E-3</v>
      </c>
      <c r="I66" s="393">
        <f t="shared" si="17"/>
        <v>7.8584148638591225E-3</v>
      </c>
      <c r="J66" s="393">
        <f t="shared" si="17"/>
        <v>7.0978281522382598E-3</v>
      </c>
      <c r="K66" s="393">
        <f t="shared" si="17"/>
        <v>7.1067440667961241E-3</v>
      </c>
      <c r="L66" s="393">
        <f t="shared" si="17"/>
        <v>7.2282234982916334E-3</v>
      </c>
      <c r="M66" s="393">
        <f t="shared" si="17"/>
        <v>7.2045473985349077E-3</v>
      </c>
      <c r="N66" s="393">
        <f t="shared" si="17"/>
        <v>1.347127882399461E-2</v>
      </c>
      <c r="O66" s="394">
        <f t="shared" si="17"/>
        <v>9.4262375118483427E-2</v>
      </c>
    </row>
    <row r="67" spans="2:15" ht="15.75">
      <c r="B67" s="395" t="s">
        <v>323</v>
      </c>
      <c r="C67" s="393">
        <f t="shared" si="17"/>
        <v>3.472528183542197E-3</v>
      </c>
      <c r="D67" s="393">
        <f t="shared" si="17"/>
        <v>3.2608474066023472E-3</v>
      </c>
      <c r="E67" s="393">
        <f t="shared" si="17"/>
        <v>5.1789176445122681E-3</v>
      </c>
      <c r="F67" s="393">
        <f t="shared" si="17"/>
        <v>3.1684992666015967E-3</v>
      </c>
      <c r="G67" s="393">
        <f t="shared" si="17"/>
        <v>3.7077172438673249E-3</v>
      </c>
      <c r="H67" s="393">
        <f t="shared" si="17"/>
        <v>4.396787554327387E-3</v>
      </c>
      <c r="I67" s="393">
        <f t="shared" si="17"/>
        <v>3.9381985762674118E-3</v>
      </c>
      <c r="J67" s="393">
        <f t="shared" si="17"/>
        <v>3.5016678017137058E-3</v>
      </c>
      <c r="K67" s="393">
        <f t="shared" si="17"/>
        <v>4.0023736592995421E-3</v>
      </c>
      <c r="L67" s="393">
        <f t="shared" si="17"/>
        <v>3.8882703937478482E-3</v>
      </c>
      <c r="M67" s="393">
        <f t="shared" si="17"/>
        <v>3.4333275362722297E-3</v>
      </c>
      <c r="N67" s="393">
        <f t="shared" si="17"/>
        <v>7.7122518106856044E-3</v>
      </c>
      <c r="O67" s="394">
        <f t="shared" si="17"/>
        <v>4.9661387077439473E-2</v>
      </c>
    </row>
    <row r="68" spans="2:15" ht="15.75">
      <c r="B68" s="371" t="s">
        <v>352</v>
      </c>
      <c r="C68" s="393">
        <f t="shared" si="17"/>
        <v>4.6289984632096369E-3</v>
      </c>
      <c r="D68" s="393">
        <f t="shared" si="17"/>
        <v>7.9793317319655813E-4</v>
      </c>
      <c r="E68" s="393">
        <f t="shared" si="17"/>
        <v>1.7045555397741802E-3</v>
      </c>
      <c r="F68" s="393">
        <f t="shared" si="17"/>
        <v>3.1478623228998245E-3</v>
      </c>
      <c r="G68" s="393">
        <f t="shared" si="17"/>
        <v>9.6525916648581211E-4</v>
      </c>
      <c r="H68" s="393">
        <f t="shared" si="17"/>
        <v>3.9771911380884258E-3</v>
      </c>
      <c r="I68" s="393">
        <f t="shared" si="17"/>
        <v>4.5520894554024012E-3</v>
      </c>
      <c r="J68" s="393">
        <f t="shared" si="17"/>
        <v>5.331488243695751E-4</v>
      </c>
      <c r="K68" s="393">
        <f t="shared" si="17"/>
        <v>1.3413490065119008E-3</v>
      </c>
      <c r="L68" s="393">
        <f t="shared" si="17"/>
        <v>3.4465260532837326E-3</v>
      </c>
      <c r="M68" s="393">
        <f t="shared" si="17"/>
        <v>1.3663105543694277E-3</v>
      </c>
      <c r="N68" s="393">
        <f t="shared" si="17"/>
        <v>3.7034732922310559E-3</v>
      </c>
      <c r="O68" s="394">
        <f t="shared" si="17"/>
        <v>3.0164696989822531E-2</v>
      </c>
    </row>
    <row r="69" spans="2:15" ht="15.75">
      <c r="B69" s="371" t="s">
        <v>325</v>
      </c>
      <c r="C69" s="393">
        <f t="shared" si="17"/>
        <v>4.7924017374537109E-3</v>
      </c>
      <c r="D69" s="393">
        <f t="shared" si="17"/>
        <v>3.2232885575305E-3</v>
      </c>
      <c r="E69" s="393">
        <f t="shared" si="17"/>
        <v>3.4936637633354211E-3</v>
      </c>
      <c r="F69" s="393">
        <f t="shared" si="17"/>
        <v>4.1487470056733415E-3</v>
      </c>
      <c r="G69" s="393">
        <f t="shared" si="17"/>
        <v>2.3750689555847699E-3</v>
      </c>
      <c r="H69" s="393">
        <f t="shared" si="17"/>
        <v>4.2763426048284189E-3</v>
      </c>
      <c r="I69" s="393">
        <f t="shared" si="17"/>
        <v>3.3575837422919023E-3</v>
      </c>
      <c r="J69" s="393">
        <f t="shared" si="17"/>
        <v>2.8607956477869653E-3</v>
      </c>
      <c r="K69" s="393">
        <f t="shared" si="17"/>
        <v>3.017328606116938E-3</v>
      </c>
      <c r="L69" s="393">
        <f t="shared" si="17"/>
        <v>2.5029873829795213E-3</v>
      </c>
      <c r="M69" s="393">
        <f t="shared" si="17"/>
        <v>2.8750220184278496E-3</v>
      </c>
      <c r="N69" s="393">
        <f t="shared" si="17"/>
        <v>5.4155868897294689E-3</v>
      </c>
      <c r="O69" s="394">
        <f t="shared" si="17"/>
        <v>4.2338816911738797E-2</v>
      </c>
    </row>
    <row r="70" spans="2:15" ht="21" customHeight="1">
      <c r="B70" s="376" t="s">
        <v>259</v>
      </c>
      <c r="C70" s="393">
        <f t="shared" si="17"/>
        <v>1.6765916716756756E-3</v>
      </c>
      <c r="D70" s="393">
        <f t="shared" si="17"/>
        <v>3.7044085504629692E-3</v>
      </c>
      <c r="E70" s="393">
        <f t="shared" si="17"/>
        <v>2.0566333610201786E-3</v>
      </c>
      <c r="F70" s="393">
        <f t="shared" si="17"/>
        <v>4.9224110502328767E-3</v>
      </c>
      <c r="G70" s="393">
        <f t="shared" si="17"/>
        <v>2.3987758467686497E-3</v>
      </c>
      <c r="H70" s="393">
        <f t="shared" si="17"/>
        <v>3.8117395063636183E-3</v>
      </c>
      <c r="I70" s="393">
        <f t="shared" si="17"/>
        <v>3.3765409439585675E-3</v>
      </c>
      <c r="J70" s="393">
        <f t="shared" si="17"/>
        <v>3.5262361322423736E-3</v>
      </c>
      <c r="K70" s="393">
        <f t="shared" si="17"/>
        <v>2.7441430589911619E-3</v>
      </c>
      <c r="L70" s="393">
        <f t="shared" si="17"/>
        <v>2.1580327015354268E-3</v>
      </c>
      <c r="M70" s="393">
        <f t="shared" si="17"/>
        <v>2.1887418697824398E-3</v>
      </c>
      <c r="N70" s="393">
        <f t="shared" si="17"/>
        <v>3.9725633168992405E-3</v>
      </c>
      <c r="O70" s="394">
        <f t="shared" si="17"/>
        <v>3.6536818009933185E-2</v>
      </c>
    </row>
    <row r="71" spans="2:15" ht="15.75">
      <c r="B71" s="371" t="s">
        <v>260</v>
      </c>
      <c r="C71" s="393">
        <f t="shared" si="17"/>
        <v>1.5680222462477887E-3</v>
      </c>
      <c r="D71" s="393">
        <f t="shared" si="17"/>
        <v>2.9861156461734773E-3</v>
      </c>
      <c r="E71" s="393">
        <f t="shared" si="17"/>
        <v>1.5031808418770546E-3</v>
      </c>
      <c r="F71" s="393">
        <f t="shared" si="17"/>
        <v>4.8664491137747554E-3</v>
      </c>
      <c r="G71" s="393">
        <f t="shared" si="17"/>
        <v>1.9846794164400778E-3</v>
      </c>
      <c r="H71" s="393">
        <f t="shared" si="17"/>
        <v>3.2514875187624774E-3</v>
      </c>
      <c r="I71" s="393">
        <f t="shared" si="17"/>
        <v>2.7728622427935609E-3</v>
      </c>
      <c r="J71" s="393">
        <f t="shared" si="17"/>
        <v>3.5097375372266874E-3</v>
      </c>
      <c r="K71" s="393">
        <f t="shared" si="17"/>
        <v>2.6127931633565553E-3</v>
      </c>
      <c r="L71" s="393">
        <f t="shared" si="17"/>
        <v>2.1141768536077927E-3</v>
      </c>
      <c r="M71" s="393">
        <f t="shared" si="17"/>
        <v>2.1457818558746288E-3</v>
      </c>
      <c r="N71" s="393">
        <f t="shared" si="17"/>
        <v>3.7114057893534802E-3</v>
      </c>
      <c r="O71" s="394">
        <f t="shared" si="17"/>
        <v>3.3026692225488333E-2</v>
      </c>
    </row>
    <row r="72" spans="2:15" ht="15.75">
      <c r="B72" s="371" t="s">
        <v>353</v>
      </c>
      <c r="C72" s="393"/>
      <c r="D72" s="393"/>
      <c r="E72" s="393"/>
      <c r="F72" s="393"/>
      <c r="G72" s="393"/>
      <c r="H72" s="393"/>
      <c r="I72" s="393"/>
      <c r="J72" s="393"/>
      <c r="K72" s="393"/>
      <c r="L72" s="393"/>
      <c r="M72" s="393"/>
      <c r="N72" s="393"/>
      <c r="O72" s="394"/>
    </row>
    <row r="73" spans="2:15" ht="15.75">
      <c r="B73" s="371" t="s">
        <v>326</v>
      </c>
      <c r="C73" s="393">
        <f t="shared" ref="C73:O76" si="18">C24/$O$92</f>
        <v>1.0856942542788676E-4</v>
      </c>
      <c r="D73" s="393">
        <f t="shared" si="18"/>
        <v>7.1829290428949153E-4</v>
      </c>
      <c r="E73" s="393">
        <f t="shared" si="18"/>
        <v>5.5345251914312428E-4</v>
      </c>
      <c r="F73" s="393">
        <f t="shared" si="18"/>
        <v>5.5961936458121472E-5</v>
      </c>
      <c r="G73" s="393">
        <f t="shared" si="18"/>
        <v>4.1409643032857207E-4</v>
      </c>
      <c r="H73" s="393">
        <f t="shared" si="18"/>
        <v>5.6025198760114127E-4</v>
      </c>
      <c r="I73" s="393">
        <f t="shared" si="18"/>
        <v>6.0367870116500644E-4</v>
      </c>
      <c r="J73" s="393">
        <f t="shared" si="18"/>
        <v>1.6498595015686052E-5</v>
      </c>
      <c r="K73" s="393">
        <f t="shared" si="18"/>
        <v>1.3134989563460636E-4</v>
      </c>
      <c r="L73" s="393">
        <f t="shared" si="18"/>
        <v>4.3855847927633936E-5</v>
      </c>
      <c r="M73" s="393">
        <f t="shared" si="18"/>
        <v>4.2960013907810757E-5</v>
      </c>
      <c r="N73" s="393">
        <f t="shared" si="18"/>
        <v>2.6115752754576004E-4</v>
      </c>
      <c r="O73" s="394">
        <f t="shared" si="18"/>
        <v>3.5101257844448409E-3</v>
      </c>
    </row>
    <row r="74" spans="2:15" ht="21" customHeight="1">
      <c r="B74" s="376" t="s">
        <v>327</v>
      </c>
      <c r="C74" s="393">
        <f t="shared" si="18"/>
        <v>-2.035696657466756E-5</v>
      </c>
      <c r="D74" s="393">
        <f t="shared" si="18"/>
        <v>-3.4411889360183893E-7</v>
      </c>
      <c r="E74" s="393">
        <f t="shared" si="18"/>
        <v>-9.2698740229592516E-7</v>
      </c>
      <c r="F74" s="393">
        <f t="shared" si="18"/>
        <v>0</v>
      </c>
      <c r="G74" s="393">
        <f t="shared" si="18"/>
        <v>-2.2498008706016835E-6</v>
      </c>
      <c r="H74" s="393">
        <f t="shared" si="18"/>
        <v>-1.2558683802968136E-5</v>
      </c>
      <c r="I74" s="393">
        <f t="shared" si="18"/>
        <v>-2.570104342668459E-6</v>
      </c>
      <c r="J74" s="393">
        <f t="shared" si="18"/>
        <v>0</v>
      </c>
      <c r="K74" s="393">
        <f t="shared" si="18"/>
        <v>0</v>
      </c>
      <c r="L74" s="393">
        <f t="shared" si="18"/>
        <v>0</v>
      </c>
      <c r="M74" s="393">
        <f t="shared" si="18"/>
        <v>-3.2604953407697701E-9</v>
      </c>
      <c r="N74" s="393">
        <f t="shared" si="18"/>
        <v>-1.2727422248633934E-5</v>
      </c>
      <c r="O74" s="394">
        <f t="shared" si="18"/>
        <v>-5.1737344630778311E-5</v>
      </c>
    </row>
    <row r="75" spans="2:15" ht="24.95" customHeight="1">
      <c r="B75" s="390" t="s">
        <v>269</v>
      </c>
      <c r="C75" s="391">
        <f t="shared" si="18"/>
        <v>-2.2860336826951164E-3</v>
      </c>
      <c r="D75" s="391">
        <f t="shared" si="18"/>
        <v>6.1176021127600628E-4</v>
      </c>
      <c r="E75" s="391">
        <f t="shared" si="18"/>
        <v>-2.0214497858719802E-3</v>
      </c>
      <c r="F75" s="391">
        <f t="shared" si="18"/>
        <v>7.1996559043997141E-3</v>
      </c>
      <c r="G75" s="391">
        <f t="shared" si="18"/>
        <v>1.7250344763720643E-3</v>
      </c>
      <c r="H75" s="391">
        <f t="shared" si="18"/>
        <v>-5.7134718378194739E-3</v>
      </c>
      <c r="I75" s="391">
        <f t="shared" si="18"/>
        <v>-3.9228947971834396E-3</v>
      </c>
      <c r="J75" s="391">
        <f t="shared" si="18"/>
        <v>1.2932692557275963E-3</v>
      </c>
      <c r="K75" s="391">
        <f t="shared" si="18"/>
        <v>-1.0916251850681931E-3</v>
      </c>
      <c r="L75" s="391">
        <f t="shared" si="18"/>
        <v>-1.7826553357020544E-3</v>
      </c>
      <c r="M75" s="391">
        <f t="shared" si="18"/>
        <v>-1.562097612037977E-4</v>
      </c>
      <c r="N75" s="391">
        <f t="shared" si="18"/>
        <v>-1.0439634856677966E-2</v>
      </c>
      <c r="O75" s="392">
        <f t="shared" si="18"/>
        <v>-1.6584255394446638E-2</v>
      </c>
    </row>
    <row r="76" spans="2:15" ht="39.950000000000003" customHeight="1">
      <c r="B76" s="396" t="s">
        <v>354</v>
      </c>
      <c r="C76" s="391">
        <f t="shared" si="18"/>
        <v>8.0593284595395184E-4</v>
      </c>
      <c r="D76" s="391">
        <f t="shared" si="18"/>
        <v>-1.8907027824711605E-3</v>
      </c>
      <c r="E76" s="391">
        <f t="shared" si="18"/>
        <v>-2.1151923783151766E-3</v>
      </c>
      <c r="F76" s="391">
        <f t="shared" si="18"/>
        <v>5.8131044801558104E-3</v>
      </c>
      <c r="G76" s="391">
        <f t="shared" si="18"/>
        <v>4.3322669447471297E-4</v>
      </c>
      <c r="H76" s="391">
        <f t="shared" si="18"/>
        <v>-5.3874490024213633E-3</v>
      </c>
      <c r="I76" s="391">
        <f t="shared" si="18"/>
        <v>-2.5376479221798877E-3</v>
      </c>
      <c r="J76" s="391">
        <f t="shared" si="18"/>
        <v>-1.4479525988516974E-3</v>
      </c>
      <c r="K76" s="391">
        <f t="shared" si="18"/>
        <v>-8.945931988078382E-4</v>
      </c>
      <c r="L76" s="391">
        <f t="shared" si="18"/>
        <v>-1.2746391866203134E-4</v>
      </c>
      <c r="M76" s="391">
        <f t="shared" si="18"/>
        <v>-7.3720719780338351E-4</v>
      </c>
      <c r="N76" s="391">
        <f t="shared" si="18"/>
        <v>-8.6355552952512397E-3</v>
      </c>
      <c r="O76" s="392">
        <f t="shared" si="18"/>
        <v>-1.6721500274179301E-2</v>
      </c>
    </row>
    <row r="77" spans="2:15" ht="24.95" customHeight="1">
      <c r="B77" s="397" t="s">
        <v>328</v>
      </c>
      <c r="C77" s="359"/>
      <c r="D77" s="359"/>
      <c r="E77" s="359"/>
      <c r="F77" s="359"/>
      <c r="G77" s="359"/>
      <c r="H77" s="359"/>
      <c r="I77" s="359"/>
      <c r="J77" s="359"/>
      <c r="K77" s="359"/>
      <c r="L77" s="359"/>
      <c r="M77" s="359"/>
      <c r="N77" s="359"/>
      <c r="O77" s="398"/>
    </row>
    <row r="78" spans="2:15" ht="21" customHeight="1">
      <c r="B78" s="399" t="s">
        <v>329</v>
      </c>
      <c r="C78" s="391">
        <f t="shared" ref="C78:O91" si="19">C29/$O$92</f>
        <v>-3.823065617255685E-3</v>
      </c>
      <c r="D78" s="391">
        <f t="shared" si="19"/>
        <v>-2.6886359556677186E-3</v>
      </c>
      <c r="E78" s="391">
        <f t="shared" si="19"/>
        <v>-3.8197479180893568E-3</v>
      </c>
      <c r="F78" s="391">
        <f t="shared" si="19"/>
        <v>2.6652421572559868E-3</v>
      </c>
      <c r="G78" s="391">
        <f t="shared" si="19"/>
        <v>-5.3203247201109914E-4</v>
      </c>
      <c r="H78" s="391">
        <f t="shared" si="19"/>
        <v>-9.36464014050979E-3</v>
      </c>
      <c r="I78" s="391">
        <f t="shared" si="19"/>
        <v>-7.089737377582288E-3</v>
      </c>
      <c r="J78" s="391">
        <f t="shared" si="19"/>
        <v>-1.9811014232212721E-3</v>
      </c>
      <c r="K78" s="391">
        <f t="shared" si="19"/>
        <v>-2.235942205319739E-3</v>
      </c>
      <c r="L78" s="391">
        <f t="shared" si="19"/>
        <v>-3.573989971945764E-3</v>
      </c>
      <c r="M78" s="391">
        <f t="shared" si="19"/>
        <v>-2.1035177521728111E-3</v>
      </c>
      <c r="N78" s="391">
        <f t="shared" si="19"/>
        <v>-1.2339028587482296E-2</v>
      </c>
      <c r="O78" s="392">
        <f t="shared" si="19"/>
        <v>-4.6886197264001832E-2</v>
      </c>
    </row>
    <row r="79" spans="2:15" ht="21" customHeight="1">
      <c r="B79" s="399" t="s">
        <v>330</v>
      </c>
      <c r="C79" s="391">
        <f t="shared" si="19"/>
        <v>-3.9422683877961238E-3</v>
      </c>
      <c r="D79" s="391">
        <f t="shared" si="19"/>
        <v>-3.092304220293361E-3</v>
      </c>
      <c r="E79" s="391">
        <f t="shared" si="19"/>
        <v>-4.0771561594898642E-3</v>
      </c>
      <c r="F79" s="391">
        <f t="shared" si="19"/>
        <v>2.2772448541668396E-3</v>
      </c>
      <c r="G79" s="391">
        <f t="shared" si="19"/>
        <v>-6.7007664294536538E-4</v>
      </c>
      <c r="H79" s="391">
        <f t="shared" si="19"/>
        <v>-9.5118131200423554E-3</v>
      </c>
      <c r="I79" s="391">
        <f t="shared" si="19"/>
        <v>-7.2968656367993386E-3</v>
      </c>
      <c r="J79" s="391">
        <f t="shared" si="19"/>
        <v>-2.232966876514776E-3</v>
      </c>
      <c r="K79" s="391">
        <f t="shared" si="19"/>
        <v>-3.835768244059355E-3</v>
      </c>
      <c r="L79" s="391">
        <f t="shared" si="19"/>
        <v>-3.9406880372374817E-3</v>
      </c>
      <c r="M79" s="391">
        <f t="shared" si="19"/>
        <v>-2.3449483704908979E-3</v>
      </c>
      <c r="N79" s="391">
        <f t="shared" si="19"/>
        <v>-1.4399379850604667E-2</v>
      </c>
      <c r="O79" s="392">
        <f t="shared" si="19"/>
        <v>-5.3066990692106741E-2</v>
      </c>
    </row>
    <row r="80" spans="2:15" ht="21" customHeight="1">
      <c r="B80" s="399" t="s">
        <v>355</v>
      </c>
      <c r="C80" s="391">
        <f t="shared" si="19"/>
        <v>-5.385774333839727E-3</v>
      </c>
      <c r="D80" s="391">
        <f t="shared" si="19"/>
        <v>-4.2571833393744455E-3</v>
      </c>
      <c r="E80" s="391">
        <f t="shared" si="19"/>
        <v>-5.3565561777836343E-3</v>
      </c>
      <c r="F80" s="391">
        <f t="shared" si="19"/>
        <v>1.166354270800081E-3</v>
      </c>
      <c r="G80" s="391">
        <f t="shared" si="19"/>
        <v>-2.1023620780359991E-3</v>
      </c>
      <c r="H80" s="391">
        <f t="shared" si="19"/>
        <v>-1.0924719562176659E-2</v>
      </c>
      <c r="I80" s="391">
        <f t="shared" si="19"/>
        <v>-8.6294677086540868E-3</v>
      </c>
      <c r="J80" s="391">
        <f t="shared" si="19"/>
        <v>-3.5395206925839789E-3</v>
      </c>
      <c r="K80" s="391">
        <f t="shared" si="19"/>
        <v>-3.7593244269561567E-3</v>
      </c>
      <c r="L80" s="391">
        <f t="shared" si="19"/>
        <v>-5.151818511023417E-3</v>
      </c>
      <c r="M80" s="391">
        <f t="shared" si="19"/>
        <v>-3.6802796405671751E-3</v>
      </c>
      <c r="N80" s="391">
        <f t="shared" si="19"/>
        <v>-1.4919239141397218E-2</v>
      </c>
      <c r="O80" s="392">
        <f t="shared" si="19"/>
        <v>-6.6539891341592425E-2</v>
      </c>
    </row>
    <row r="81" spans="2:15" ht="24.95" customHeight="1">
      <c r="B81" s="390" t="s">
        <v>332</v>
      </c>
      <c r="C81" s="391">
        <f t="shared" si="19"/>
        <v>1.2967556395377259E-4</v>
      </c>
      <c r="D81" s="391">
        <f t="shared" si="19"/>
        <v>-4.4617409079391544E-4</v>
      </c>
      <c r="E81" s="391">
        <f t="shared" si="19"/>
        <v>1.0447525000539725E-2</v>
      </c>
      <c r="F81" s="391">
        <f t="shared" si="19"/>
        <v>1.119931006350552E-3</v>
      </c>
      <c r="G81" s="391">
        <f t="shared" si="19"/>
        <v>-4.6586621004202999E-4</v>
      </c>
      <c r="H81" s="391">
        <f t="shared" si="19"/>
        <v>-3.932910578685371E-4</v>
      </c>
      <c r="I81" s="391">
        <f t="shared" si="19"/>
        <v>-1.0658400130215289E-3</v>
      </c>
      <c r="J81" s="391">
        <f t="shared" si="19"/>
        <v>-1.5549705083963853E-5</v>
      </c>
      <c r="K81" s="391">
        <f t="shared" si="19"/>
        <v>-8.6401706206587817E-4</v>
      </c>
      <c r="L81" s="391">
        <f t="shared" si="19"/>
        <v>1.6327346539693505E-2</v>
      </c>
      <c r="M81" s="391">
        <f t="shared" si="19"/>
        <v>-1.6379191250578073E-3</v>
      </c>
      <c r="N81" s="391">
        <f t="shared" si="19"/>
        <v>2.1469614728644299E-2</v>
      </c>
      <c r="O81" s="392">
        <f t="shared" si="19"/>
        <v>4.4605435575248195E-2</v>
      </c>
    </row>
    <row r="82" spans="2:15" ht="15.75">
      <c r="B82" s="376" t="s">
        <v>276</v>
      </c>
      <c r="C82" s="393">
        <f t="shared" si="19"/>
        <v>1.1533029346162457E-3</v>
      </c>
      <c r="D82" s="393">
        <f t="shared" si="19"/>
        <v>8.4822306128640439E-4</v>
      </c>
      <c r="E82" s="393">
        <f t="shared" si="19"/>
        <v>1.1924548138182736E-2</v>
      </c>
      <c r="F82" s="393">
        <f t="shared" si="19"/>
        <v>2.3597316610630159E-3</v>
      </c>
      <c r="G82" s="393">
        <f t="shared" si="19"/>
        <v>1.3180604967042808E-3</v>
      </c>
      <c r="H82" s="393">
        <f t="shared" si="19"/>
        <v>7.4424967701836541E-4</v>
      </c>
      <c r="I82" s="393">
        <f t="shared" si="19"/>
        <v>2.9418531419267093E-4</v>
      </c>
      <c r="J82" s="393">
        <f t="shared" si="19"/>
        <v>6.4198636261889529E-4</v>
      </c>
      <c r="K82" s="393">
        <f t="shared" si="19"/>
        <v>7.4378949210356776E-4</v>
      </c>
      <c r="L82" s="393">
        <f t="shared" si="19"/>
        <v>1.7598465334440809E-2</v>
      </c>
      <c r="M82" s="393">
        <f t="shared" si="19"/>
        <v>2.5746589916155447E-4</v>
      </c>
      <c r="N82" s="393">
        <f t="shared" si="19"/>
        <v>2.3259222730635024E-2</v>
      </c>
      <c r="O82" s="394">
        <f t="shared" si="19"/>
        <v>6.1143231102023576E-2</v>
      </c>
    </row>
    <row r="83" spans="2:15" ht="15.75">
      <c r="B83" s="376" t="s">
        <v>277</v>
      </c>
      <c r="C83" s="393">
        <f t="shared" si="19"/>
        <v>-1.023627370662473E-3</v>
      </c>
      <c r="D83" s="393">
        <f t="shared" si="19"/>
        <v>-1.2943971520803198E-3</v>
      </c>
      <c r="E83" s="393">
        <f t="shared" si="19"/>
        <v>-1.4770231376430125E-3</v>
      </c>
      <c r="F83" s="393">
        <f t="shared" si="19"/>
        <v>-1.2398006547124638E-3</v>
      </c>
      <c r="G83" s="393">
        <f t="shared" si="19"/>
        <v>-1.7839267067463109E-3</v>
      </c>
      <c r="H83" s="393">
        <f t="shared" si="19"/>
        <v>-1.1375407348869025E-3</v>
      </c>
      <c r="I83" s="393">
        <f t="shared" si="19"/>
        <v>-1.3600253272141997E-3</v>
      </c>
      <c r="J83" s="393">
        <f t="shared" si="19"/>
        <v>-6.5753606770285918E-4</v>
      </c>
      <c r="K83" s="393">
        <f t="shared" si="19"/>
        <v>-1.6078065541694458E-3</v>
      </c>
      <c r="L83" s="393">
        <f t="shared" si="19"/>
        <v>-1.2711187947473017E-3</v>
      </c>
      <c r="M83" s="393">
        <f t="shared" si="19"/>
        <v>-1.8953850242193618E-3</v>
      </c>
      <c r="N83" s="393">
        <f t="shared" si="19"/>
        <v>-1.789608001990726E-3</v>
      </c>
      <c r="O83" s="394">
        <f t="shared" si="19"/>
        <v>-1.6537795526775378E-2</v>
      </c>
    </row>
    <row r="84" spans="2:15" ht="24.95" customHeight="1">
      <c r="B84" s="390" t="s">
        <v>333</v>
      </c>
      <c r="C84" s="391">
        <f t="shared" si="19"/>
        <v>3.6933900533019128E-3</v>
      </c>
      <c r="D84" s="391">
        <f t="shared" si="19"/>
        <v>3.134810046461634E-3</v>
      </c>
      <c r="E84" s="391">
        <f t="shared" si="19"/>
        <v>-6.6277770824503682E-3</v>
      </c>
      <c r="F84" s="391">
        <f t="shared" si="19"/>
        <v>-3.7851731636065391E-3</v>
      </c>
      <c r="G84" s="391">
        <f t="shared" si="19"/>
        <v>9.978986820531287E-4</v>
      </c>
      <c r="H84" s="391">
        <f t="shared" si="19"/>
        <v>9.7579311983783269E-3</v>
      </c>
      <c r="I84" s="391">
        <f t="shared" si="19"/>
        <v>8.155577390603819E-3</v>
      </c>
      <c r="J84" s="391">
        <f t="shared" si="19"/>
        <v>1.9966511283052361E-3</v>
      </c>
      <c r="K84" s="391">
        <f t="shared" si="19"/>
        <v>3.0999592673856169E-3</v>
      </c>
      <c r="L84" s="391">
        <f t="shared" si="19"/>
        <v>-1.275335656774774E-2</v>
      </c>
      <c r="M84" s="391">
        <f t="shared" si="19"/>
        <v>3.7414368772306179E-3</v>
      </c>
      <c r="N84" s="391">
        <f t="shared" si="19"/>
        <v>-9.1305861411620035E-3</v>
      </c>
      <c r="O84" s="392">
        <f t="shared" si="19"/>
        <v>2.2807616887536419E-3</v>
      </c>
    </row>
    <row r="85" spans="2:15" ht="15.75">
      <c r="B85" s="376" t="s">
        <v>279</v>
      </c>
      <c r="C85" s="393">
        <f t="shared" si="19"/>
        <v>1.0395634038230572E-2</v>
      </c>
      <c r="D85" s="393">
        <f t="shared" si="19"/>
        <v>4.8097845539217413E-4</v>
      </c>
      <c r="E85" s="393">
        <f t="shared" si="19"/>
        <v>-4.4626574144879848E-3</v>
      </c>
      <c r="F85" s="393">
        <f t="shared" si="19"/>
        <v>2.7821302811900271E-4</v>
      </c>
      <c r="G85" s="393">
        <f t="shared" si="19"/>
        <v>-2.1308379569607801E-2</v>
      </c>
      <c r="H85" s="393">
        <f t="shared" si="19"/>
        <v>9.4820817629286402E-3</v>
      </c>
      <c r="I85" s="393">
        <f t="shared" si="19"/>
        <v>6.7873298025977165E-3</v>
      </c>
      <c r="J85" s="393">
        <f t="shared" si="19"/>
        <v>1.0610955127993902E-3</v>
      </c>
      <c r="K85" s="393">
        <f t="shared" si="19"/>
        <v>4.4706112278301664E-3</v>
      </c>
      <c r="L85" s="393">
        <f t="shared" si="19"/>
        <v>-1.3878268023056969E-2</v>
      </c>
      <c r="M85" s="393">
        <f t="shared" si="19"/>
        <v>5.3575182284357923E-3</v>
      </c>
      <c r="N85" s="393">
        <f t="shared" si="19"/>
        <v>-1.5338531339728961E-2</v>
      </c>
      <c r="O85" s="394">
        <f t="shared" si="19"/>
        <v>-1.6674374290548258E-2</v>
      </c>
    </row>
    <row r="86" spans="2:15" ht="15.75">
      <c r="B86" s="376" t="s">
        <v>282</v>
      </c>
      <c r="C86" s="393">
        <f t="shared" si="19"/>
        <v>-3.2556409410042942E-3</v>
      </c>
      <c r="D86" s="393">
        <f t="shared" si="19"/>
        <v>2.7599346497651921E-3</v>
      </c>
      <c r="E86" s="393">
        <f t="shared" si="19"/>
        <v>1.0222749019692511E-3</v>
      </c>
      <c r="F86" s="393">
        <f t="shared" si="19"/>
        <v>-2.9090262441752515E-3</v>
      </c>
      <c r="G86" s="393">
        <f t="shared" si="19"/>
        <v>1.9515109574573253E-2</v>
      </c>
      <c r="H86" s="393">
        <f t="shared" si="19"/>
        <v>-5.4958252138155475E-4</v>
      </c>
      <c r="I86" s="393">
        <f t="shared" si="19"/>
        <v>2.3414178018841452E-3</v>
      </c>
      <c r="J86" s="393">
        <f t="shared" si="19"/>
        <v>-1.6784714316068635E-3</v>
      </c>
      <c r="K86" s="393">
        <f t="shared" si="19"/>
        <v>-2.7380766145388899E-4</v>
      </c>
      <c r="L86" s="393">
        <f t="shared" si="19"/>
        <v>3.2617910340071015E-4</v>
      </c>
      <c r="M86" s="393">
        <f t="shared" si="19"/>
        <v>-3.8130267782170114E-4</v>
      </c>
      <c r="N86" s="393">
        <f t="shared" si="19"/>
        <v>-3.3211147610276788E-3</v>
      </c>
      <c r="O86" s="394">
        <f t="shared" si="19"/>
        <v>1.3595969793121323E-2</v>
      </c>
    </row>
    <row r="87" spans="2:15" ht="15.75">
      <c r="B87" s="376" t="s">
        <v>283</v>
      </c>
      <c r="C87" s="393">
        <f t="shared" si="19"/>
        <v>0</v>
      </c>
      <c r="D87" s="393">
        <f t="shared" si="19"/>
        <v>0</v>
      </c>
      <c r="E87" s="393">
        <f t="shared" si="19"/>
        <v>0</v>
      </c>
      <c r="F87" s="393">
        <f t="shared" si="19"/>
        <v>0</v>
      </c>
      <c r="G87" s="393">
        <f t="shared" si="19"/>
        <v>0</v>
      </c>
      <c r="H87" s="393">
        <f t="shared" si="19"/>
        <v>0</v>
      </c>
      <c r="I87" s="393">
        <f t="shared" si="19"/>
        <v>0</v>
      </c>
      <c r="J87" s="393">
        <f t="shared" si="19"/>
        <v>0</v>
      </c>
      <c r="K87" s="393">
        <f t="shared" si="19"/>
        <v>0</v>
      </c>
      <c r="L87" s="393">
        <f t="shared" si="19"/>
        <v>0</v>
      </c>
      <c r="M87" s="393">
        <f t="shared" si="19"/>
        <v>0</v>
      </c>
      <c r="N87" s="393">
        <f t="shared" si="19"/>
        <v>0</v>
      </c>
      <c r="O87" s="394">
        <f t="shared" si="19"/>
        <v>0</v>
      </c>
    </row>
    <row r="88" spans="2:15" ht="15.75">
      <c r="B88" s="376" t="s">
        <v>284</v>
      </c>
      <c r="C88" s="393">
        <f t="shared" si="19"/>
        <v>-1.986301476795886E-3</v>
      </c>
      <c r="D88" s="393">
        <f t="shared" si="19"/>
        <v>1.5457532687332186E-3</v>
      </c>
      <c r="E88" s="393">
        <f t="shared" si="19"/>
        <v>-1.3632803810103844E-3</v>
      </c>
      <c r="F88" s="393">
        <f t="shared" si="19"/>
        <v>1.495637179986842E-3</v>
      </c>
      <c r="G88" s="393">
        <f t="shared" si="19"/>
        <v>4.0504310773667417E-3</v>
      </c>
      <c r="H88" s="393">
        <f t="shared" si="19"/>
        <v>1.2532989605502222E-3</v>
      </c>
      <c r="I88" s="393">
        <f t="shared" si="19"/>
        <v>1.5197506769263286E-3</v>
      </c>
      <c r="J88" s="393">
        <f t="shared" si="19"/>
        <v>2.5096609045076532E-3</v>
      </c>
      <c r="K88" s="393">
        <f t="shared" si="19"/>
        <v>2.9826938384080559E-3</v>
      </c>
      <c r="L88" s="393">
        <f t="shared" si="19"/>
        <v>2.3600108052554253E-3</v>
      </c>
      <c r="M88" s="393">
        <f t="shared" si="19"/>
        <v>-9.9549655486256368E-4</v>
      </c>
      <c r="N88" s="393">
        <f t="shared" si="19"/>
        <v>9.4169604286423632E-3</v>
      </c>
      <c r="O88" s="394">
        <f t="shared" si="19"/>
        <v>2.2789118727708019E-2</v>
      </c>
    </row>
    <row r="89" spans="2:15" ht="15.75">
      <c r="B89" s="376" t="s">
        <v>334</v>
      </c>
      <c r="C89" s="393">
        <f t="shared" si="19"/>
        <v>0</v>
      </c>
      <c r="D89" s="393">
        <f t="shared" si="19"/>
        <v>0</v>
      </c>
      <c r="E89" s="393">
        <f t="shared" si="19"/>
        <v>0</v>
      </c>
      <c r="F89" s="393">
        <f t="shared" si="19"/>
        <v>0</v>
      </c>
      <c r="G89" s="393">
        <f t="shared" si="19"/>
        <v>0</v>
      </c>
      <c r="H89" s="393">
        <f t="shared" si="19"/>
        <v>0</v>
      </c>
      <c r="I89" s="393">
        <f t="shared" si="19"/>
        <v>0</v>
      </c>
      <c r="J89" s="393">
        <f t="shared" si="19"/>
        <v>0</v>
      </c>
      <c r="K89" s="393">
        <f t="shared" si="19"/>
        <v>0</v>
      </c>
      <c r="L89" s="393">
        <f t="shared" si="19"/>
        <v>0</v>
      </c>
      <c r="M89" s="393">
        <f t="shared" si="19"/>
        <v>0</v>
      </c>
      <c r="N89" s="393">
        <f t="shared" si="19"/>
        <v>0</v>
      </c>
      <c r="O89" s="394">
        <f t="shared" si="19"/>
        <v>0</v>
      </c>
    </row>
    <row r="90" spans="2:15" ht="15.75">
      <c r="B90" s="376" t="s">
        <v>335</v>
      </c>
      <c r="C90" s="393">
        <f t="shared" si="19"/>
        <v>-1.5627087165840418E-3</v>
      </c>
      <c r="D90" s="393">
        <f t="shared" si="19"/>
        <v>-1.5685473837067272E-3</v>
      </c>
      <c r="E90" s="393">
        <f t="shared" si="19"/>
        <v>-1.5368082596942782E-3</v>
      </c>
      <c r="F90" s="393">
        <f t="shared" si="19"/>
        <v>-1.4988878864559058E-3</v>
      </c>
      <c r="G90" s="393">
        <f t="shared" si="19"/>
        <v>-1.5703296060249001E-3</v>
      </c>
      <c r="H90" s="393">
        <f t="shared" si="19"/>
        <v>-1.5600794216668694E-3</v>
      </c>
      <c r="I90" s="393">
        <f t="shared" si="19"/>
        <v>-1.5397303310717993E-3</v>
      </c>
      <c r="J90" s="393">
        <f t="shared" si="19"/>
        <v>-1.5584192693627065E-3</v>
      </c>
      <c r="K90" s="393">
        <f t="shared" si="19"/>
        <v>-1.5233822216364178E-3</v>
      </c>
      <c r="L90" s="393">
        <f t="shared" si="19"/>
        <v>-1.5778285390776533E-3</v>
      </c>
      <c r="M90" s="393">
        <f t="shared" si="19"/>
        <v>-1.5767618883943638E-3</v>
      </c>
      <c r="N90" s="393">
        <f t="shared" si="19"/>
        <v>-2.5802105539149238E-3</v>
      </c>
      <c r="O90" s="394">
        <f t="shared" si="19"/>
        <v>-1.9653694077590583E-2</v>
      </c>
    </row>
    <row r="91" spans="2:15" ht="15.75">
      <c r="B91" s="400" t="s">
        <v>336</v>
      </c>
      <c r="C91" s="401">
        <f t="shared" si="19"/>
        <v>1.0240714945556301E-4</v>
      </c>
      <c r="D91" s="401">
        <f t="shared" si="19"/>
        <v>-8.3308943722223261E-5</v>
      </c>
      <c r="E91" s="401">
        <f t="shared" si="19"/>
        <v>-2.8730592922697175E-4</v>
      </c>
      <c r="F91" s="401">
        <f t="shared" si="19"/>
        <v>-1.1511092410812259E-3</v>
      </c>
      <c r="G91" s="401">
        <f t="shared" si="19"/>
        <v>3.1106720574583226E-4</v>
      </c>
      <c r="H91" s="401">
        <f t="shared" si="19"/>
        <v>1.1322124179478886E-3</v>
      </c>
      <c r="I91" s="401">
        <f t="shared" si="19"/>
        <v>-9.5319055973257347E-4</v>
      </c>
      <c r="J91" s="401">
        <f t="shared" si="19"/>
        <v>1.6627854119677628E-3</v>
      </c>
      <c r="K91" s="401">
        <f t="shared" si="19"/>
        <v>-2.5561559157622985E-3</v>
      </c>
      <c r="L91" s="401">
        <f t="shared" si="19"/>
        <v>1.6550085730746787E-5</v>
      </c>
      <c r="M91" s="401">
        <f t="shared" si="19"/>
        <v>1.3374797698734548E-3</v>
      </c>
      <c r="N91" s="401">
        <f t="shared" si="19"/>
        <v>2.6923100848671969E-3</v>
      </c>
      <c r="O91" s="402">
        <f t="shared" si="19"/>
        <v>2.2237415360631526E-3</v>
      </c>
    </row>
    <row r="92" spans="2:15" ht="24.95" customHeight="1" thickBot="1">
      <c r="B92" s="403" t="s">
        <v>359</v>
      </c>
      <c r="C92" s="404"/>
      <c r="D92" s="405"/>
      <c r="E92" s="405"/>
      <c r="F92" s="405"/>
      <c r="G92" s="405"/>
      <c r="H92" s="405"/>
      <c r="I92" s="405"/>
      <c r="J92" s="405"/>
      <c r="K92" s="405"/>
      <c r="L92" s="405"/>
      <c r="M92" s="405"/>
      <c r="N92" s="405"/>
      <c r="O92" s="406">
        <v>17601.62</v>
      </c>
    </row>
    <row r="93" spans="2:15">
      <c r="B93" s="48" t="s">
        <v>338</v>
      </c>
    </row>
    <row r="94" spans="2:15">
      <c r="B94" s="48" t="s">
        <v>356</v>
      </c>
    </row>
    <row r="96" spans="2:15" ht="16.5" thickBot="1">
      <c r="B96" s="353" t="s">
        <v>340</v>
      </c>
      <c r="C96" s="2"/>
      <c r="D96" s="2"/>
      <c r="E96" s="2"/>
      <c r="F96" s="2"/>
      <c r="G96" s="2"/>
      <c r="H96" s="2"/>
      <c r="I96" s="2"/>
      <c r="J96" s="2"/>
      <c r="K96" s="2"/>
      <c r="L96" s="2"/>
      <c r="M96" s="2"/>
      <c r="N96" s="2"/>
      <c r="O96" s="2"/>
    </row>
    <row r="97" spans="2:15" ht="24.95" customHeight="1" thickBot="1">
      <c r="B97" s="407" t="s">
        <v>357</v>
      </c>
      <c r="C97" s="408">
        <f t="shared" ref="C97:O97" si="20">C48/$O$92</f>
        <v>1.5627087165840418E-3</v>
      </c>
      <c r="D97" s="409">
        <f t="shared" si="20"/>
        <v>1.5685473837067272E-3</v>
      </c>
      <c r="E97" s="409">
        <f t="shared" si="20"/>
        <v>1.5368082596942782E-3</v>
      </c>
      <c r="F97" s="409">
        <f t="shared" si="20"/>
        <v>1.4988878864559058E-3</v>
      </c>
      <c r="G97" s="409">
        <f t="shared" si="20"/>
        <v>1.5703296060249001E-3</v>
      </c>
      <c r="H97" s="409">
        <f t="shared" si="20"/>
        <v>1.5600794216668694E-3</v>
      </c>
      <c r="I97" s="409">
        <f t="shared" si="20"/>
        <v>1.5397303310717993E-3</v>
      </c>
      <c r="J97" s="409">
        <f t="shared" si="20"/>
        <v>1.5584192693627065E-3</v>
      </c>
      <c r="K97" s="409">
        <f t="shared" si="20"/>
        <v>1.5233822216364178E-3</v>
      </c>
      <c r="L97" s="409">
        <f t="shared" si="20"/>
        <v>1.5778285390776533E-3</v>
      </c>
      <c r="M97" s="409">
        <f t="shared" si="20"/>
        <v>1.5767618883943638E-3</v>
      </c>
      <c r="N97" s="410">
        <f t="shared" si="20"/>
        <v>2.5802105539149238E-3</v>
      </c>
      <c r="O97" s="411">
        <f t="shared" si="20"/>
        <v>1.9653694077590583E-2</v>
      </c>
    </row>
    <row r="106" spans="2:15" ht="15.75">
      <c r="B106" t="s">
        <v>325</v>
      </c>
      <c r="C106">
        <v>96.967584269999989</v>
      </c>
      <c r="D106">
        <v>69.388190339999994</v>
      </c>
      <c r="E106">
        <v>73.565031970000007</v>
      </c>
      <c r="F106">
        <v>85.891638269999987</v>
      </c>
      <c r="G106">
        <v>54.717831229999994</v>
      </c>
      <c r="H106">
        <v>87.981247670000002</v>
      </c>
      <c r="I106">
        <v>71.484998149999996</v>
      </c>
      <c r="J106">
        <v>63.029778329999999</v>
      </c>
      <c r="K106">
        <v>66.088196540000013</v>
      </c>
      <c r="L106">
        <v>57.041532779999997</v>
      </c>
      <c r="M106">
        <v>63.742123740000004</v>
      </c>
      <c r="N106">
        <v>115.73898820000001</v>
      </c>
      <c r="O106" s="412">
        <f>SUM(C106:N106)</f>
        <v>905.63714148999998</v>
      </c>
    </row>
    <row r="107" spans="2:15" ht="15.75">
      <c r="B107" t="s">
        <v>360</v>
      </c>
      <c r="C107">
        <v>12.61355</v>
      </c>
      <c r="D107">
        <v>12.653090000000001</v>
      </c>
      <c r="E107">
        <v>12.07089</v>
      </c>
      <c r="F107">
        <v>12.86697</v>
      </c>
      <c r="G107">
        <v>12.91277</v>
      </c>
      <c r="H107">
        <v>12.71069015</v>
      </c>
      <c r="I107">
        <v>12.386085</v>
      </c>
      <c r="J107">
        <v>12.67514044</v>
      </c>
      <c r="K107">
        <v>12.978325</v>
      </c>
      <c r="L107">
        <v>12.9849</v>
      </c>
      <c r="M107">
        <v>13.13707868</v>
      </c>
      <c r="N107">
        <v>20.41588569</v>
      </c>
      <c r="O107" s="412">
        <f>SUM(C107:N107)</f>
        <v>160.40537496000002</v>
      </c>
    </row>
    <row r="109" spans="2:15" ht="15.75">
      <c r="C109" s="23">
        <f>+C106-C107</f>
        <v>84.354034269999985</v>
      </c>
      <c r="D109" s="23">
        <f t="shared" ref="D109:N109" si="21">+D106-D107</f>
        <v>56.735100339999995</v>
      </c>
      <c r="E109" s="23">
        <f t="shared" si="21"/>
        <v>61.494141970000008</v>
      </c>
      <c r="F109" s="23">
        <f t="shared" si="21"/>
        <v>73.024668269999992</v>
      </c>
      <c r="G109" s="23">
        <f t="shared" si="21"/>
        <v>41.805061229999993</v>
      </c>
      <c r="H109" s="23">
        <f t="shared" si="21"/>
        <v>75.270557519999997</v>
      </c>
      <c r="I109" s="23">
        <f t="shared" si="21"/>
        <v>59.098913149999994</v>
      </c>
      <c r="J109" s="23">
        <f t="shared" si="21"/>
        <v>50.354637889999999</v>
      </c>
      <c r="K109" s="23">
        <f t="shared" si="21"/>
        <v>53.109871540000015</v>
      </c>
      <c r="L109" s="23">
        <f t="shared" si="21"/>
        <v>44.056632780000001</v>
      </c>
      <c r="M109" s="23">
        <f t="shared" si="21"/>
        <v>50.605045060000002</v>
      </c>
      <c r="N109" s="23">
        <f t="shared" si="21"/>
        <v>95.323102510000012</v>
      </c>
      <c r="O109" s="412">
        <f>SUM(C109:N109)</f>
        <v>745.23176652999985</v>
      </c>
    </row>
  </sheetData>
  <printOptions horizontalCentered="1"/>
  <pageMargins left="0.7" right="0.7" top="0.75" bottom="0.75" header="0.3" footer="0.3"/>
  <pageSetup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94"/>
  <sheetViews>
    <sheetView workbookViewId="0"/>
  </sheetViews>
  <sheetFormatPr baseColWidth="10" defaultRowHeight="15"/>
  <cols>
    <col min="1" max="1" width="2.7109375" customWidth="1"/>
    <col min="2" max="2" width="52.42578125" customWidth="1"/>
    <col min="3" max="14" width="8.7109375" customWidth="1"/>
    <col min="15" max="15" width="10.5703125" customWidth="1"/>
    <col min="17" max="17" width="12.7109375" bestFit="1" customWidth="1"/>
  </cols>
  <sheetData>
    <row r="1" spans="1:16" ht="15.75">
      <c r="A1" s="2"/>
      <c r="B1" s="353" t="s">
        <v>18</v>
      </c>
      <c r="C1" s="2"/>
      <c r="D1" s="2"/>
      <c r="E1" s="2"/>
      <c r="F1" s="2"/>
      <c r="G1" s="2"/>
      <c r="H1" s="2"/>
      <c r="I1" s="2"/>
      <c r="J1" s="2"/>
      <c r="K1" s="2"/>
      <c r="L1" s="2"/>
      <c r="M1" s="2"/>
      <c r="N1" s="2"/>
      <c r="O1" s="2"/>
      <c r="P1" s="2"/>
    </row>
    <row r="2" spans="1:16" ht="15.75">
      <c r="A2" s="2"/>
      <c r="B2" s="353" t="s">
        <v>361</v>
      </c>
      <c r="C2" s="2"/>
      <c r="D2" s="2"/>
      <c r="E2" s="2"/>
      <c r="F2" s="2"/>
      <c r="G2" s="2"/>
      <c r="H2" s="2"/>
      <c r="I2" s="2"/>
      <c r="J2" s="2"/>
      <c r="K2" s="2"/>
      <c r="L2" s="2"/>
      <c r="M2" s="2"/>
      <c r="N2" s="2"/>
      <c r="O2" s="2"/>
      <c r="P2" s="2"/>
    </row>
    <row r="3" spans="1:16" ht="15.75">
      <c r="A3" s="2"/>
      <c r="B3" s="353" t="s">
        <v>19</v>
      </c>
      <c r="C3" s="2"/>
      <c r="D3" s="2"/>
      <c r="E3" s="2"/>
      <c r="F3" s="2"/>
      <c r="G3" s="2"/>
      <c r="H3" s="2"/>
      <c r="I3" s="2"/>
      <c r="J3" s="2"/>
      <c r="K3" s="2"/>
      <c r="L3" s="2"/>
      <c r="M3" s="2"/>
      <c r="N3" s="2"/>
      <c r="O3" s="2"/>
      <c r="P3" s="2"/>
    </row>
    <row r="4" spans="1:16" ht="16.5" thickBot="1">
      <c r="A4" s="2"/>
      <c r="B4" s="354"/>
      <c r="C4" s="2"/>
      <c r="D4" s="2"/>
      <c r="E4" s="2"/>
      <c r="F4" s="2"/>
      <c r="G4" s="2"/>
      <c r="H4" s="2"/>
      <c r="I4" s="2"/>
      <c r="J4" s="2"/>
      <c r="K4" s="2"/>
      <c r="L4" s="2"/>
      <c r="M4" s="2"/>
      <c r="N4" s="2"/>
      <c r="O4" s="2"/>
      <c r="P4" s="2"/>
    </row>
    <row r="5" spans="1:16" ht="35.1" customHeight="1">
      <c r="A5" s="2"/>
      <c r="B5" s="355" t="s">
        <v>238</v>
      </c>
      <c r="C5" s="356" t="s">
        <v>59</v>
      </c>
      <c r="D5" s="356" t="s">
        <v>60</v>
      </c>
      <c r="E5" s="356" t="s">
        <v>61</v>
      </c>
      <c r="F5" s="356" t="s">
        <v>62</v>
      </c>
      <c r="G5" s="356" t="s">
        <v>63</v>
      </c>
      <c r="H5" s="356" t="s">
        <v>64</v>
      </c>
      <c r="I5" s="356" t="s">
        <v>65</v>
      </c>
      <c r="J5" s="356" t="s">
        <v>66</v>
      </c>
      <c r="K5" s="356" t="s">
        <v>67</v>
      </c>
      <c r="L5" s="356" t="s">
        <v>68</v>
      </c>
      <c r="M5" s="356" t="s">
        <v>69</v>
      </c>
      <c r="N5" s="356" t="s">
        <v>70</v>
      </c>
      <c r="O5" s="357" t="s">
        <v>362</v>
      </c>
      <c r="P5" s="2"/>
    </row>
    <row r="6" spans="1:16" ht="15.75">
      <c r="A6" s="2"/>
      <c r="B6" s="358"/>
      <c r="C6" s="359"/>
      <c r="D6" s="359"/>
      <c r="E6" s="359"/>
      <c r="F6" s="359"/>
      <c r="G6" s="359"/>
      <c r="H6" s="359"/>
      <c r="I6" s="359"/>
      <c r="J6" s="359"/>
      <c r="K6" s="359"/>
      <c r="L6" s="359"/>
      <c r="M6" s="359"/>
      <c r="N6" s="359"/>
      <c r="O6" s="360"/>
      <c r="P6" s="2"/>
    </row>
    <row r="7" spans="1:16" ht="24.95" customHeight="1">
      <c r="A7" s="2"/>
      <c r="B7" s="362" t="s">
        <v>239</v>
      </c>
      <c r="C7" s="363">
        <f t="shared" ref="C7:N7" si="0">+C8+C12+C13</f>
        <v>319.30264536899995</v>
      </c>
      <c r="D7" s="363">
        <f t="shared" si="0"/>
        <v>288.34222670000008</v>
      </c>
      <c r="E7" s="363">
        <f t="shared" si="0"/>
        <v>314.06991038699999</v>
      </c>
      <c r="F7" s="363">
        <f t="shared" si="0"/>
        <v>497.08090112000002</v>
      </c>
      <c r="G7" s="363">
        <f t="shared" si="0"/>
        <v>284.77000255400003</v>
      </c>
      <c r="H7" s="363">
        <f t="shared" si="0"/>
        <v>304.9099099</v>
      </c>
      <c r="I7" s="363">
        <f t="shared" si="0"/>
        <v>315.98667896900002</v>
      </c>
      <c r="J7" s="363">
        <f t="shared" si="0"/>
        <v>302.29620394099999</v>
      </c>
      <c r="K7" s="363">
        <f t="shared" si="0"/>
        <v>302.50170878699998</v>
      </c>
      <c r="L7" s="363">
        <f t="shared" si="0"/>
        <v>314.43610502546397</v>
      </c>
      <c r="M7" s="363">
        <f t="shared" si="0"/>
        <v>324.300777891</v>
      </c>
      <c r="N7" s="363">
        <f t="shared" si="0"/>
        <v>425.84057919199995</v>
      </c>
      <c r="O7" s="364">
        <f>SUM(C7:N7)</f>
        <v>3993.8376498354642</v>
      </c>
      <c r="P7" s="2"/>
    </row>
    <row r="8" spans="1:16" ht="21" customHeight="1">
      <c r="A8" s="2"/>
      <c r="B8" s="365" t="s">
        <v>240</v>
      </c>
      <c r="C8" s="366">
        <f>+C9+C10+C11</f>
        <v>314.51081576899998</v>
      </c>
      <c r="D8" s="366">
        <f t="shared" ref="D8:N8" si="1">+D9+D10+D11</f>
        <v>275.63064951000007</v>
      </c>
      <c r="E8" s="366">
        <f t="shared" si="1"/>
        <v>288.540446497</v>
      </c>
      <c r="F8" s="366">
        <f t="shared" si="1"/>
        <v>490.43074018000004</v>
      </c>
      <c r="G8" s="366">
        <f t="shared" si="1"/>
        <v>273.83880626400003</v>
      </c>
      <c r="H8" s="366">
        <f t="shared" si="1"/>
        <v>295.05890654000001</v>
      </c>
      <c r="I8" s="366">
        <f t="shared" si="1"/>
        <v>305.332807409</v>
      </c>
      <c r="J8" s="366">
        <f t="shared" si="1"/>
        <v>293.895102791</v>
      </c>
      <c r="K8" s="366">
        <f t="shared" si="1"/>
        <v>286.85778611699999</v>
      </c>
      <c r="L8" s="366">
        <f t="shared" si="1"/>
        <v>307.43680093546396</v>
      </c>
      <c r="M8" s="366">
        <f t="shared" si="1"/>
        <v>310.31593487100002</v>
      </c>
      <c r="N8" s="366">
        <f t="shared" si="1"/>
        <v>387.32937110199998</v>
      </c>
      <c r="O8" s="367">
        <f t="shared" ref="O8:O13" si="2">SUM(C8:N8)</f>
        <v>3829.1781679854644</v>
      </c>
      <c r="P8" s="2"/>
    </row>
    <row r="9" spans="1:16" ht="18.75">
      <c r="A9" s="2"/>
      <c r="B9" s="368" t="s">
        <v>351</v>
      </c>
      <c r="C9" s="366">
        <v>253.99772232000001</v>
      </c>
      <c r="D9" s="366">
        <v>221.85923220000006</v>
      </c>
      <c r="E9" s="366">
        <v>233.71937624</v>
      </c>
      <c r="F9" s="366">
        <v>442.48438709000004</v>
      </c>
      <c r="G9" s="366">
        <v>229.06258915999999</v>
      </c>
      <c r="H9" s="366">
        <v>244.30501835000001</v>
      </c>
      <c r="I9" s="366">
        <v>241.53099002000002</v>
      </c>
      <c r="J9" s="366">
        <v>228.62511235000002</v>
      </c>
      <c r="K9" s="366">
        <v>226.61118708999999</v>
      </c>
      <c r="L9" s="366">
        <v>243.70491839000002</v>
      </c>
      <c r="M9" s="366">
        <v>250.35698684000002</v>
      </c>
      <c r="N9" s="366">
        <v>255.51062325999999</v>
      </c>
      <c r="O9" s="367">
        <f t="shared" si="2"/>
        <v>3071.7681433099997</v>
      </c>
      <c r="P9" s="2"/>
    </row>
    <row r="10" spans="1:16" ht="15.75">
      <c r="A10" s="2"/>
      <c r="B10" s="368" t="s">
        <v>317</v>
      </c>
      <c r="C10" s="366">
        <v>50.503675809999997</v>
      </c>
      <c r="D10" s="366">
        <v>48.566107980000012</v>
      </c>
      <c r="E10" s="366">
        <v>49.746540200000005</v>
      </c>
      <c r="F10" s="366">
        <v>43.99585999</v>
      </c>
      <c r="G10" s="366">
        <v>43.142160880000006</v>
      </c>
      <c r="H10" s="366">
        <v>45.853690110000002</v>
      </c>
      <c r="I10" s="366">
        <v>46.814143808999994</v>
      </c>
      <c r="J10" s="366">
        <v>45.994829540000005</v>
      </c>
      <c r="K10" s="366">
        <v>46.376083688999998</v>
      </c>
      <c r="L10" s="366">
        <v>51.982120349999995</v>
      </c>
      <c r="M10" s="366">
        <v>49.427432674000002</v>
      </c>
      <c r="N10" s="366">
        <v>129.13988896400002</v>
      </c>
      <c r="O10" s="367">
        <f t="shared" si="2"/>
        <v>651.54253399599997</v>
      </c>
      <c r="P10" s="2"/>
    </row>
    <row r="11" spans="1:16" ht="15.75">
      <c r="A11" s="2"/>
      <c r="B11" s="368" t="s">
        <v>318</v>
      </c>
      <c r="C11" s="366">
        <v>10.009417639000002</v>
      </c>
      <c r="D11" s="366">
        <v>5.2053093299999986</v>
      </c>
      <c r="E11" s="366">
        <v>5.0745300570000005</v>
      </c>
      <c r="F11" s="366">
        <v>3.9504930999999992</v>
      </c>
      <c r="G11" s="366">
        <v>1.6340562239999983</v>
      </c>
      <c r="H11" s="366">
        <v>4.9001980799999956</v>
      </c>
      <c r="I11" s="366">
        <v>16.987673580000003</v>
      </c>
      <c r="J11" s="366">
        <v>19.275160901</v>
      </c>
      <c r="K11" s="366">
        <v>13.870515337999997</v>
      </c>
      <c r="L11" s="366">
        <v>11.74976219546399</v>
      </c>
      <c r="M11" s="366">
        <v>10.531515357000004</v>
      </c>
      <c r="N11" s="366">
        <v>2.6788588779999962</v>
      </c>
      <c r="O11" s="367">
        <f t="shared" si="2"/>
        <v>105.86749067946397</v>
      </c>
      <c r="P11" s="2"/>
    </row>
    <row r="12" spans="1:16" ht="21" customHeight="1">
      <c r="A12" s="2"/>
      <c r="B12" s="365" t="s">
        <v>244</v>
      </c>
      <c r="C12" s="366">
        <v>0</v>
      </c>
      <c r="D12" s="366">
        <v>0.10953491999999999</v>
      </c>
      <c r="E12" s="366">
        <v>0</v>
      </c>
      <c r="F12" s="366">
        <v>0</v>
      </c>
      <c r="G12" s="366">
        <v>0</v>
      </c>
      <c r="H12" s="366">
        <v>7.5000000000000002E-4</v>
      </c>
      <c r="I12" s="366">
        <v>0</v>
      </c>
      <c r="J12" s="366">
        <v>0</v>
      </c>
      <c r="K12" s="366">
        <v>0</v>
      </c>
      <c r="L12" s="366">
        <v>0</v>
      </c>
      <c r="M12" s="366">
        <v>0.12091536999999999</v>
      </c>
      <c r="N12" s="366">
        <v>0</v>
      </c>
      <c r="O12" s="367">
        <f t="shared" si="2"/>
        <v>0.23120028999999997</v>
      </c>
      <c r="P12" s="2"/>
    </row>
    <row r="13" spans="1:16" ht="21" customHeight="1">
      <c r="A13" s="2"/>
      <c r="B13" s="365" t="s">
        <v>245</v>
      </c>
      <c r="C13" s="366">
        <v>4.7918295999999998</v>
      </c>
      <c r="D13" s="366">
        <v>12.60204227</v>
      </c>
      <c r="E13" s="366">
        <v>25.529463890000002</v>
      </c>
      <c r="F13" s="366">
        <v>6.6501609400000001</v>
      </c>
      <c r="G13" s="366">
        <v>10.931196289999999</v>
      </c>
      <c r="H13" s="366">
        <v>9.85025336</v>
      </c>
      <c r="I13" s="366">
        <v>10.653871560000001</v>
      </c>
      <c r="J13" s="366">
        <v>8.4011011499999988</v>
      </c>
      <c r="K13" s="366">
        <v>15.643922669999998</v>
      </c>
      <c r="L13" s="366">
        <v>6.9993040899999999</v>
      </c>
      <c r="M13" s="366">
        <v>13.863927650000001</v>
      </c>
      <c r="N13" s="366">
        <v>38.511208089999997</v>
      </c>
      <c r="O13" s="367">
        <f t="shared" si="2"/>
        <v>164.42828155999999</v>
      </c>
      <c r="P13" s="2"/>
    </row>
    <row r="14" spans="1:16" ht="24.95" customHeight="1">
      <c r="A14" s="2"/>
      <c r="B14" s="362" t="s">
        <v>246</v>
      </c>
      <c r="C14" s="363">
        <f t="shared" ref="C14:N14" si="3">+C15+C21+C24</f>
        <v>356.97301671999998</v>
      </c>
      <c r="D14" s="363">
        <f t="shared" si="3"/>
        <v>330.87823764000007</v>
      </c>
      <c r="E14" s="363">
        <f t="shared" si="3"/>
        <v>355.11891329000002</v>
      </c>
      <c r="F14" s="363">
        <f t="shared" si="3"/>
        <v>338.02361720999994</v>
      </c>
      <c r="G14" s="363">
        <f t="shared" si="3"/>
        <v>347.22650874999999</v>
      </c>
      <c r="H14" s="363">
        <f t="shared" si="3"/>
        <v>408.78067840999995</v>
      </c>
      <c r="I14" s="363">
        <f t="shared" si="3"/>
        <v>403.56411565500002</v>
      </c>
      <c r="J14" s="363">
        <f t="shared" si="3"/>
        <v>319.27069525100001</v>
      </c>
      <c r="K14" s="363">
        <f t="shared" si="3"/>
        <v>357.06148006000001</v>
      </c>
      <c r="L14" s="363">
        <f t="shared" si="3"/>
        <v>363.37572365</v>
      </c>
      <c r="M14" s="363">
        <f t="shared" si="3"/>
        <v>349.10334198700002</v>
      </c>
      <c r="N14" s="363">
        <f t="shared" si="3"/>
        <v>624.32324540399998</v>
      </c>
      <c r="O14" s="364">
        <f>SUM(C14:N14)</f>
        <v>4553.6995740269995</v>
      </c>
      <c r="P14" s="2"/>
    </row>
    <row r="15" spans="1:16" ht="21" customHeight="1">
      <c r="A15" s="2"/>
      <c r="B15" s="365" t="s">
        <v>247</v>
      </c>
      <c r="C15" s="366">
        <f>+C16+C19+C20</f>
        <v>308.46319548999998</v>
      </c>
      <c r="D15" s="366">
        <f t="shared" ref="D15:N15" si="4">+D16+D19+D20</f>
        <v>283.21293440000005</v>
      </c>
      <c r="E15" s="366">
        <f t="shared" si="4"/>
        <v>277.05696066000002</v>
      </c>
      <c r="F15" s="366">
        <f t="shared" si="4"/>
        <v>295.14112665999994</v>
      </c>
      <c r="G15" s="366">
        <f t="shared" si="4"/>
        <v>297.99365632000001</v>
      </c>
      <c r="H15" s="366">
        <f t="shared" si="4"/>
        <v>358.67641276999996</v>
      </c>
      <c r="I15" s="366">
        <f t="shared" si="4"/>
        <v>346.86035672500003</v>
      </c>
      <c r="J15" s="366">
        <f t="shared" si="4"/>
        <v>271.98034271099999</v>
      </c>
      <c r="K15" s="366">
        <f t="shared" si="4"/>
        <v>297.31580295999998</v>
      </c>
      <c r="L15" s="366">
        <f t="shared" si="4"/>
        <v>306.07769410999998</v>
      </c>
      <c r="M15" s="366">
        <f t="shared" si="4"/>
        <v>303.06082438700003</v>
      </c>
      <c r="N15" s="366">
        <f t="shared" si="4"/>
        <v>530.56413726400001</v>
      </c>
      <c r="O15" s="367">
        <f t="shared" ref="O15:O24" si="5">SUM(C15:N15)</f>
        <v>3876.4034444569998</v>
      </c>
      <c r="P15" s="2"/>
    </row>
    <row r="16" spans="1:16" ht="15.75">
      <c r="A16" s="2"/>
      <c r="B16" s="368" t="s">
        <v>321</v>
      </c>
      <c r="C16" s="366">
        <f>+C17+C18</f>
        <v>189.58871886999998</v>
      </c>
      <c r="D16" s="366">
        <f t="shared" ref="D16:N16" si="6">+D17+D18</f>
        <v>207.15010007000001</v>
      </c>
      <c r="E16" s="366">
        <f t="shared" si="6"/>
        <v>190.98492224</v>
      </c>
      <c r="F16" s="366">
        <f t="shared" si="6"/>
        <v>195.94387080999996</v>
      </c>
      <c r="G16" s="366">
        <f t="shared" si="6"/>
        <v>204.5607704</v>
      </c>
      <c r="H16" s="366">
        <f t="shared" si="6"/>
        <v>231.61590133999999</v>
      </c>
      <c r="I16" s="366">
        <f t="shared" si="6"/>
        <v>207.494222165</v>
      </c>
      <c r="J16" s="366">
        <f t="shared" si="6"/>
        <v>196.40819476999999</v>
      </c>
      <c r="K16" s="366">
        <f t="shared" si="6"/>
        <v>212.46263965999998</v>
      </c>
      <c r="L16" s="366">
        <f t="shared" si="6"/>
        <v>210.14989014</v>
      </c>
      <c r="M16" s="366">
        <f t="shared" si="6"/>
        <v>207.43275109699999</v>
      </c>
      <c r="N16" s="366">
        <f t="shared" si="6"/>
        <v>400.05877907399997</v>
      </c>
      <c r="O16" s="367">
        <f t="shared" si="5"/>
        <v>2653.8507606359999</v>
      </c>
      <c r="P16" s="2"/>
    </row>
    <row r="17" spans="1:16" ht="15.75">
      <c r="A17" s="2"/>
      <c r="B17" s="369" t="s">
        <v>322</v>
      </c>
      <c r="C17" s="366">
        <v>130.25791426499998</v>
      </c>
      <c r="D17" s="366">
        <v>129.38812365000001</v>
      </c>
      <c r="E17" s="366">
        <v>130.51690131699999</v>
      </c>
      <c r="F17" s="366">
        <v>128.22778537799999</v>
      </c>
      <c r="G17" s="366">
        <v>131.934022395</v>
      </c>
      <c r="H17" s="366">
        <v>152.11046337499999</v>
      </c>
      <c r="I17" s="366">
        <v>134.05564800549999</v>
      </c>
      <c r="J17" s="366">
        <v>132.726294725</v>
      </c>
      <c r="K17" s="366">
        <v>132.38963129299998</v>
      </c>
      <c r="L17" s="366">
        <v>131.49547892699999</v>
      </c>
      <c r="M17" s="366">
        <v>131.14817865999999</v>
      </c>
      <c r="N17" s="366">
        <v>245.80952460399999</v>
      </c>
      <c r="O17" s="367">
        <f t="shared" si="5"/>
        <v>1710.0599665945001</v>
      </c>
      <c r="P17" s="2"/>
    </row>
    <row r="18" spans="1:16" ht="15.75">
      <c r="A18" s="2"/>
      <c r="B18" s="369" t="s">
        <v>323</v>
      </c>
      <c r="C18" s="366">
        <v>59.33080460499999</v>
      </c>
      <c r="D18" s="366">
        <v>77.761976419999996</v>
      </c>
      <c r="E18" s="366">
        <v>60.468020923000005</v>
      </c>
      <c r="F18" s="366">
        <v>67.716085431999986</v>
      </c>
      <c r="G18" s="366">
        <v>72.626748004999996</v>
      </c>
      <c r="H18" s="366">
        <v>79.505437964999999</v>
      </c>
      <c r="I18" s="366">
        <v>73.438574159499993</v>
      </c>
      <c r="J18" s="366">
        <v>63.681900044999999</v>
      </c>
      <c r="K18" s="366">
        <v>80.073008367</v>
      </c>
      <c r="L18" s="366">
        <v>78.654411213000003</v>
      </c>
      <c r="M18" s="366">
        <v>76.284572437000008</v>
      </c>
      <c r="N18" s="366">
        <v>154.24925446999998</v>
      </c>
      <c r="O18" s="367">
        <f t="shared" si="5"/>
        <v>943.79079404149991</v>
      </c>
      <c r="P18" s="2"/>
    </row>
    <row r="19" spans="1:16" ht="15.75">
      <c r="A19" s="2"/>
      <c r="B19" s="368" t="s">
        <v>352</v>
      </c>
      <c r="C19" s="366">
        <v>75.829267720000004</v>
      </c>
      <c r="D19" s="366">
        <v>22.625991380000002</v>
      </c>
      <c r="E19" s="366">
        <v>26.059778679999997</v>
      </c>
      <c r="F19" s="366">
        <v>33.511694150000004</v>
      </c>
      <c r="G19" s="366">
        <v>27.064484709999999</v>
      </c>
      <c r="H19" s="366">
        <v>65.005008380000007</v>
      </c>
      <c r="I19" s="366">
        <v>75.914775810000009</v>
      </c>
      <c r="J19" s="366">
        <v>14.94731722</v>
      </c>
      <c r="K19" s="366">
        <v>23.212982959999998</v>
      </c>
      <c r="L19" s="366">
        <v>35.80676682</v>
      </c>
      <c r="M19" s="366">
        <v>40.821122639999999</v>
      </c>
      <c r="N19" s="366">
        <v>67.125792869999998</v>
      </c>
      <c r="O19" s="367">
        <f t="shared" si="5"/>
        <v>507.92498334000004</v>
      </c>
      <c r="P19" s="2"/>
    </row>
    <row r="20" spans="1:16" ht="15.75">
      <c r="A20" s="2"/>
      <c r="B20" s="368" t="s">
        <v>325</v>
      </c>
      <c r="C20" s="366">
        <v>43.045208900000006</v>
      </c>
      <c r="D20" s="366">
        <v>53.436842950000006</v>
      </c>
      <c r="E20" s="366">
        <v>60.012259740000005</v>
      </c>
      <c r="F20" s="366">
        <v>65.685561699999994</v>
      </c>
      <c r="G20" s="366">
        <v>66.368401210000002</v>
      </c>
      <c r="H20" s="366">
        <v>62.055503049999999</v>
      </c>
      <c r="I20" s="366">
        <v>63.451358750000004</v>
      </c>
      <c r="J20" s="366">
        <v>60.624830720999995</v>
      </c>
      <c r="K20" s="366">
        <v>61.640180340000001</v>
      </c>
      <c r="L20" s="366">
        <v>60.121037149999999</v>
      </c>
      <c r="M20" s="366">
        <v>54.806950650000012</v>
      </c>
      <c r="N20" s="366">
        <v>63.379565319999998</v>
      </c>
      <c r="O20" s="367">
        <f t="shared" si="5"/>
        <v>714.62770048100003</v>
      </c>
      <c r="P20" s="2"/>
    </row>
    <row r="21" spans="1:16" ht="21" customHeight="1">
      <c r="A21" s="2"/>
      <c r="B21" s="365" t="s">
        <v>259</v>
      </c>
      <c r="C21" s="366">
        <f t="shared" ref="C21:N21" si="7">+C22+C23</f>
        <v>48.509821229999993</v>
      </c>
      <c r="D21" s="366">
        <f t="shared" si="7"/>
        <v>47.665303239999993</v>
      </c>
      <c r="E21" s="366">
        <f t="shared" si="7"/>
        <v>78.061952629999993</v>
      </c>
      <c r="F21" s="366">
        <f t="shared" si="7"/>
        <v>42.88249055</v>
      </c>
      <c r="G21" s="366">
        <f t="shared" si="7"/>
        <v>49.232852430000008</v>
      </c>
      <c r="H21" s="366">
        <f t="shared" si="7"/>
        <v>50.607612110000005</v>
      </c>
      <c r="I21" s="366">
        <f t="shared" si="7"/>
        <v>56.703758929999999</v>
      </c>
      <c r="J21" s="366">
        <f t="shared" si="7"/>
        <v>47.290352540000008</v>
      </c>
      <c r="K21" s="366">
        <f t="shared" si="7"/>
        <v>59.745677100000002</v>
      </c>
      <c r="L21" s="366">
        <f t="shared" si="7"/>
        <v>57.298029540000002</v>
      </c>
      <c r="M21" s="366">
        <f t="shared" si="7"/>
        <v>46.042517599999996</v>
      </c>
      <c r="N21" s="366">
        <f t="shared" si="7"/>
        <v>93.759108139999995</v>
      </c>
      <c r="O21" s="367">
        <f t="shared" si="5"/>
        <v>677.79947603999994</v>
      </c>
      <c r="P21" s="2"/>
    </row>
    <row r="22" spans="1:16" ht="15.75">
      <c r="A22" s="2"/>
      <c r="B22" s="368" t="s">
        <v>260</v>
      </c>
      <c r="C22" s="366">
        <v>47.349873759999994</v>
      </c>
      <c r="D22" s="366">
        <v>36.189900179999995</v>
      </c>
      <c r="E22" s="366">
        <v>62.73352671</v>
      </c>
      <c r="F22" s="366">
        <v>41.520971709999998</v>
      </c>
      <c r="G22" s="366">
        <v>44.242058750000005</v>
      </c>
      <c r="H22" s="366">
        <v>48.109751520000003</v>
      </c>
      <c r="I22" s="366">
        <v>50.253548240000001</v>
      </c>
      <c r="J22" s="366">
        <v>38.422541500000008</v>
      </c>
      <c r="K22" s="366">
        <v>57.452598190000003</v>
      </c>
      <c r="L22" s="366">
        <v>56.61763655</v>
      </c>
      <c r="M22" s="366">
        <v>45.022159099999996</v>
      </c>
      <c r="N22" s="366">
        <v>93.171300099999996</v>
      </c>
      <c r="O22" s="367">
        <f t="shared" si="5"/>
        <v>621.08586631000003</v>
      </c>
      <c r="P22" s="2"/>
    </row>
    <row r="23" spans="1:16" ht="15.75">
      <c r="A23" s="2"/>
      <c r="B23" s="368" t="s">
        <v>326</v>
      </c>
      <c r="C23" s="366">
        <v>1.1599474699999999</v>
      </c>
      <c r="D23" s="366">
        <v>11.47540306</v>
      </c>
      <c r="E23" s="366">
        <v>15.328425919999999</v>
      </c>
      <c r="F23" s="366">
        <v>1.36151884</v>
      </c>
      <c r="G23" s="366">
        <v>4.9907936800000003</v>
      </c>
      <c r="H23" s="366">
        <v>2.4978605899999997</v>
      </c>
      <c r="I23" s="366">
        <v>6.4502106900000005</v>
      </c>
      <c r="J23" s="366">
        <v>8.8678110399999994</v>
      </c>
      <c r="K23" s="366">
        <v>2.2930789099999997</v>
      </c>
      <c r="L23" s="366">
        <v>0.68039298999999986</v>
      </c>
      <c r="M23" s="366">
        <v>1.0203584999999999</v>
      </c>
      <c r="N23" s="366">
        <v>0.58780803999999998</v>
      </c>
      <c r="O23" s="367">
        <f t="shared" si="5"/>
        <v>56.713609729999995</v>
      </c>
      <c r="P23" s="2"/>
    </row>
    <row r="24" spans="1:16" ht="21" customHeight="1">
      <c r="A24" s="2"/>
      <c r="B24" s="365" t="s">
        <v>327</v>
      </c>
      <c r="C24" s="366">
        <v>0</v>
      </c>
      <c r="D24" s="366">
        <v>0</v>
      </c>
      <c r="E24" s="366">
        <v>0</v>
      </c>
      <c r="F24" s="366">
        <v>0</v>
      </c>
      <c r="G24" s="366">
        <v>0</v>
      </c>
      <c r="H24" s="366">
        <v>-0.50334646999999999</v>
      </c>
      <c r="I24" s="366">
        <v>0</v>
      </c>
      <c r="J24" s="366">
        <v>0</v>
      </c>
      <c r="K24" s="366">
        <v>0</v>
      </c>
      <c r="L24" s="366">
        <v>0</v>
      </c>
      <c r="M24" s="366">
        <v>0</v>
      </c>
      <c r="N24" s="366">
        <v>0</v>
      </c>
      <c r="O24" s="367">
        <f t="shared" si="5"/>
        <v>-0.50334646999999999</v>
      </c>
      <c r="P24" s="2"/>
    </row>
    <row r="25" spans="1:16" ht="24.95" customHeight="1">
      <c r="A25" s="2"/>
      <c r="B25" s="362" t="s">
        <v>269</v>
      </c>
      <c r="C25" s="363">
        <f t="shared" ref="C25:N25" si="8">C8-C15</f>
        <v>6.0476202790000002</v>
      </c>
      <c r="D25" s="363">
        <f t="shared" si="8"/>
        <v>-7.5822848899999826</v>
      </c>
      <c r="E25" s="363">
        <f t="shared" si="8"/>
        <v>11.483485836999989</v>
      </c>
      <c r="F25" s="363">
        <f t="shared" si="8"/>
        <v>195.2896135200001</v>
      </c>
      <c r="G25" s="363">
        <f t="shared" si="8"/>
        <v>-24.154850055999987</v>
      </c>
      <c r="H25" s="363">
        <f t="shared" si="8"/>
        <v>-63.617506229999947</v>
      </c>
      <c r="I25" s="363">
        <f t="shared" si="8"/>
        <v>-41.527549316000034</v>
      </c>
      <c r="J25" s="363">
        <f t="shared" si="8"/>
        <v>21.914760080000008</v>
      </c>
      <c r="K25" s="363">
        <f t="shared" si="8"/>
        <v>-10.458016842999996</v>
      </c>
      <c r="L25" s="363">
        <f t="shared" si="8"/>
        <v>1.3591068254639822</v>
      </c>
      <c r="M25" s="363">
        <f t="shared" si="8"/>
        <v>7.2551104839999994</v>
      </c>
      <c r="N25" s="363">
        <f t="shared" si="8"/>
        <v>-143.23476616200003</v>
      </c>
      <c r="O25" s="364">
        <f>SUM(C25:N25)</f>
        <v>-47.225276471535892</v>
      </c>
      <c r="P25" s="2"/>
    </row>
    <row r="26" spans="1:16" ht="39.950000000000003" customHeight="1">
      <c r="A26" s="2"/>
      <c r="B26" s="372" t="s">
        <v>354</v>
      </c>
      <c r="C26" s="363">
        <f t="shared" ref="C26:N26" si="9">C28+C19</f>
        <v>38.158896368999976</v>
      </c>
      <c r="D26" s="363">
        <f t="shared" si="9"/>
        <v>-19.910019559999981</v>
      </c>
      <c r="E26" s="363">
        <f t="shared" si="9"/>
        <v>-14.989224223000033</v>
      </c>
      <c r="F26" s="363">
        <f t="shared" si="9"/>
        <v>192.56897806000009</v>
      </c>
      <c r="G26" s="363">
        <f t="shared" si="9"/>
        <v>-35.392021485999962</v>
      </c>
      <c r="H26" s="363">
        <f t="shared" si="9"/>
        <v>-38.865760129999941</v>
      </c>
      <c r="I26" s="363">
        <f t="shared" si="9"/>
        <v>-11.66266087599999</v>
      </c>
      <c r="J26" s="363">
        <f t="shared" si="9"/>
        <v>-2.0271740900000186</v>
      </c>
      <c r="K26" s="363">
        <f t="shared" si="9"/>
        <v>-31.346788313000026</v>
      </c>
      <c r="L26" s="363">
        <f t="shared" si="9"/>
        <v>-13.132851804536024</v>
      </c>
      <c r="M26" s="363">
        <f t="shared" si="9"/>
        <v>16.018558543999973</v>
      </c>
      <c r="N26" s="363">
        <f t="shared" si="9"/>
        <v>-131.35687334200003</v>
      </c>
      <c r="O26" s="364">
        <f>SUM(C26:N26)</f>
        <v>-51.936940851535951</v>
      </c>
      <c r="P26" s="2"/>
    </row>
    <row r="27" spans="1:16" ht="24.95" customHeight="1">
      <c r="A27" s="2"/>
      <c r="B27" s="373" t="s">
        <v>328</v>
      </c>
      <c r="C27" s="366"/>
      <c r="D27" s="366"/>
      <c r="E27" s="366"/>
      <c r="F27" s="366"/>
      <c r="G27" s="366"/>
      <c r="H27" s="366"/>
      <c r="I27" s="366"/>
      <c r="J27" s="366"/>
      <c r="K27" s="366"/>
      <c r="L27" s="366"/>
      <c r="M27" s="366"/>
      <c r="N27" s="366"/>
      <c r="O27" s="364"/>
      <c r="P27" s="2"/>
    </row>
    <row r="28" spans="1:16" ht="21" customHeight="1">
      <c r="A28" s="2"/>
      <c r="B28" s="374" t="s">
        <v>329</v>
      </c>
      <c r="C28" s="363">
        <f t="shared" ref="C28:N28" si="10">C7-C14</f>
        <v>-37.670371351000028</v>
      </c>
      <c r="D28" s="363">
        <f t="shared" si="10"/>
        <v>-42.536010939999983</v>
      </c>
      <c r="E28" s="363">
        <f t="shared" si="10"/>
        <v>-41.04900290300003</v>
      </c>
      <c r="F28" s="363">
        <f t="shared" si="10"/>
        <v>159.05728391000008</v>
      </c>
      <c r="G28" s="363">
        <f t="shared" si="10"/>
        <v>-62.456506195999964</v>
      </c>
      <c r="H28" s="363">
        <f t="shared" si="10"/>
        <v>-103.87076850999995</v>
      </c>
      <c r="I28" s="363">
        <f t="shared" si="10"/>
        <v>-87.577436685999999</v>
      </c>
      <c r="J28" s="363">
        <f t="shared" si="10"/>
        <v>-16.974491310000019</v>
      </c>
      <c r="K28" s="363">
        <f t="shared" si="10"/>
        <v>-54.559771273000024</v>
      </c>
      <c r="L28" s="363">
        <f t="shared" si="10"/>
        <v>-48.939618624536024</v>
      </c>
      <c r="M28" s="363">
        <f t="shared" si="10"/>
        <v>-24.802564096000026</v>
      </c>
      <c r="N28" s="363">
        <f t="shared" si="10"/>
        <v>-198.48266621200003</v>
      </c>
      <c r="O28" s="364">
        <f t="shared" ref="O28:O42" si="11">SUM(C28:N28)</f>
        <v>-559.86192419153599</v>
      </c>
      <c r="P28" s="2"/>
    </row>
    <row r="29" spans="1:16" ht="21" customHeight="1">
      <c r="A29" s="2"/>
      <c r="B29" s="374" t="s">
        <v>330</v>
      </c>
      <c r="C29" s="363">
        <f t="shared" ref="C29:N29" si="12">C28-C13</f>
        <v>-42.462200951000028</v>
      </c>
      <c r="D29" s="363">
        <f t="shared" si="12"/>
        <v>-55.138053209999981</v>
      </c>
      <c r="E29" s="363">
        <f t="shared" si="12"/>
        <v>-66.578466793000032</v>
      </c>
      <c r="F29" s="363">
        <f t="shared" si="12"/>
        <v>152.40712297000007</v>
      </c>
      <c r="G29" s="363">
        <f t="shared" si="12"/>
        <v>-73.387702485999966</v>
      </c>
      <c r="H29" s="363">
        <f t="shared" si="12"/>
        <v>-113.72102186999994</v>
      </c>
      <c r="I29" s="363">
        <f t="shared" si="12"/>
        <v>-98.231308245999998</v>
      </c>
      <c r="J29" s="363">
        <f t="shared" si="12"/>
        <v>-25.375592460000018</v>
      </c>
      <c r="K29" s="363">
        <f t="shared" si="12"/>
        <v>-70.203693943000019</v>
      </c>
      <c r="L29" s="363">
        <f t="shared" si="12"/>
        <v>-55.938922714536027</v>
      </c>
      <c r="M29" s="363">
        <f t="shared" si="12"/>
        <v>-38.666491746000027</v>
      </c>
      <c r="N29" s="363">
        <f t="shared" si="12"/>
        <v>-236.99387430200002</v>
      </c>
      <c r="O29" s="364">
        <f t="shared" si="11"/>
        <v>-724.29020575153595</v>
      </c>
      <c r="P29" s="2"/>
    </row>
    <row r="30" spans="1:16" ht="21" customHeight="1">
      <c r="A30" s="2"/>
      <c r="B30" s="374" t="s">
        <v>355</v>
      </c>
      <c r="C30" s="363">
        <f t="shared" ref="C30:N30" si="13">C28-C47</f>
        <v>-65.239566351000036</v>
      </c>
      <c r="D30" s="363">
        <f t="shared" si="13"/>
        <v>-70.201840939999983</v>
      </c>
      <c r="E30" s="363">
        <f t="shared" si="13"/>
        <v>-68.819760903000031</v>
      </c>
      <c r="F30" s="363">
        <f t="shared" si="13"/>
        <v>131.60925658000008</v>
      </c>
      <c r="G30" s="363">
        <f t="shared" si="13"/>
        <v>-90.44243567599996</v>
      </c>
      <c r="H30" s="363">
        <f t="shared" si="13"/>
        <v>-131.63597411999996</v>
      </c>
      <c r="I30" s="363">
        <f t="shared" si="13"/>
        <v>-115.775585686</v>
      </c>
      <c r="J30" s="363">
        <f t="shared" si="13"/>
        <v>-44.988506430000015</v>
      </c>
      <c r="K30" s="363">
        <f t="shared" si="13"/>
        <v>-82.213547413000015</v>
      </c>
      <c r="L30" s="363">
        <f t="shared" si="13"/>
        <v>-78.448851534536033</v>
      </c>
      <c r="M30" s="363">
        <f t="shared" si="13"/>
        <v>-55.011778046000032</v>
      </c>
      <c r="N30" s="363">
        <f t="shared" si="13"/>
        <v>-245.83306129200002</v>
      </c>
      <c r="O30" s="364">
        <f t="shared" si="11"/>
        <v>-917.00165181153602</v>
      </c>
      <c r="P30" s="2"/>
    </row>
    <row r="31" spans="1:16" ht="24.95" customHeight="1">
      <c r="A31" s="2"/>
      <c r="B31" s="362" t="s">
        <v>332</v>
      </c>
      <c r="C31" s="363">
        <f>SUM(C32:C33)</f>
        <v>-0.1244000000000014</v>
      </c>
      <c r="D31" s="363">
        <f t="shared" ref="D31:N31" si="14">SUM(D32:D33)</f>
        <v>-12.640684040000002</v>
      </c>
      <c r="E31" s="363">
        <f t="shared" si="14"/>
        <v>-16.107050000000001</v>
      </c>
      <c r="F31" s="363">
        <f t="shared" si="14"/>
        <v>-7.7488309400000013</v>
      </c>
      <c r="G31" s="363">
        <f t="shared" si="14"/>
        <v>-37.361500000000007</v>
      </c>
      <c r="H31" s="363">
        <f t="shared" si="14"/>
        <v>-18.151699999999998</v>
      </c>
      <c r="I31" s="363">
        <f t="shared" si="14"/>
        <v>-16.935111970000001</v>
      </c>
      <c r="J31" s="363">
        <f t="shared" si="14"/>
        <v>104.77744025</v>
      </c>
      <c r="K31" s="363">
        <f t="shared" si="14"/>
        <v>-20.215956550000001</v>
      </c>
      <c r="L31" s="363">
        <f t="shared" si="14"/>
        <v>229.48039999999997</v>
      </c>
      <c r="M31" s="363">
        <f t="shared" si="14"/>
        <v>70.077440249999995</v>
      </c>
      <c r="N31" s="363">
        <f t="shared" si="14"/>
        <v>-0.96911676999999941</v>
      </c>
      <c r="O31" s="364">
        <f t="shared" si="11"/>
        <v>274.08093022999992</v>
      </c>
      <c r="P31" s="2"/>
    </row>
    <row r="32" spans="1:16" ht="15.75">
      <c r="A32" s="2"/>
      <c r="B32" s="365" t="s">
        <v>276</v>
      </c>
      <c r="C32" s="366">
        <v>15.675599999999999</v>
      </c>
      <c r="D32" s="366">
        <v>8.6</v>
      </c>
      <c r="E32" s="366">
        <v>8.6929500000000015</v>
      </c>
      <c r="F32" s="366">
        <v>9.6999999999999993</v>
      </c>
      <c r="G32" s="366">
        <v>0.3</v>
      </c>
      <c r="H32" s="366">
        <v>13.3</v>
      </c>
      <c r="I32" s="366">
        <v>6.6999999999999993</v>
      </c>
      <c r="J32" s="366">
        <v>115.6</v>
      </c>
      <c r="K32" s="366">
        <v>6.5</v>
      </c>
      <c r="L32" s="366">
        <v>251.7</v>
      </c>
      <c r="M32" s="366">
        <v>104</v>
      </c>
      <c r="N32" s="366">
        <v>43.4</v>
      </c>
      <c r="O32" s="367">
        <f t="shared" si="11"/>
        <v>584.16854999999998</v>
      </c>
      <c r="P32" s="329"/>
    </row>
    <row r="33" spans="1:16" ht="15.75">
      <c r="A33" s="2"/>
      <c r="B33" s="365" t="s">
        <v>277</v>
      </c>
      <c r="C33" s="366">
        <v>-15.8</v>
      </c>
      <c r="D33" s="366">
        <v>-21.240684040000001</v>
      </c>
      <c r="E33" s="366">
        <v>-24.8</v>
      </c>
      <c r="F33" s="366">
        <v>-17.448830940000001</v>
      </c>
      <c r="G33" s="366">
        <v>-37.661500000000004</v>
      </c>
      <c r="H33" s="366">
        <v>-31.451699999999999</v>
      </c>
      <c r="I33" s="366">
        <v>-23.635111970000001</v>
      </c>
      <c r="J33" s="366">
        <v>-10.82255975</v>
      </c>
      <c r="K33" s="366">
        <v>-26.715956550000001</v>
      </c>
      <c r="L33" s="366">
        <v>-22.2196</v>
      </c>
      <c r="M33" s="366">
        <v>-33.922559750000005</v>
      </c>
      <c r="N33" s="366">
        <v>-44.369116769999998</v>
      </c>
      <c r="O33" s="367">
        <f t="shared" si="11"/>
        <v>-310.08761977000006</v>
      </c>
      <c r="P33" s="329"/>
    </row>
    <row r="34" spans="1:16" ht="24.95" customHeight="1">
      <c r="A34" s="2"/>
      <c r="B34" s="362" t="s">
        <v>333</v>
      </c>
      <c r="C34" s="363">
        <f>SUM(C35:C41)</f>
        <v>37.794771351000009</v>
      </c>
      <c r="D34" s="363">
        <f t="shared" ref="D34:N34" si="15">SUM(D35:D41)</f>
        <v>55.176694979999979</v>
      </c>
      <c r="E34" s="363">
        <f t="shared" si="15"/>
        <v>57.156052903000017</v>
      </c>
      <c r="F34" s="363">
        <f t="shared" si="15"/>
        <v>-151.30845297000008</v>
      </c>
      <c r="G34" s="363">
        <f t="shared" si="15"/>
        <v>99.81800619599997</v>
      </c>
      <c r="H34" s="363">
        <f t="shared" si="15"/>
        <v>122.02246850999995</v>
      </c>
      <c r="I34" s="363">
        <f t="shared" si="15"/>
        <v>104.51254865599998</v>
      </c>
      <c r="J34" s="363">
        <f t="shared" si="15"/>
        <v>-87.802948939999965</v>
      </c>
      <c r="K34" s="363">
        <f t="shared" si="15"/>
        <v>74.77572782300004</v>
      </c>
      <c r="L34" s="363">
        <f t="shared" si="15"/>
        <v>-180.54078137546395</v>
      </c>
      <c r="M34" s="363">
        <f t="shared" si="15"/>
        <v>-45.274876153999969</v>
      </c>
      <c r="N34" s="363">
        <f t="shared" si="15"/>
        <v>199.45178298200005</v>
      </c>
      <c r="O34" s="364">
        <f t="shared" si="11"/>
        <v>285.78099396153607</v>
      </c>
      <c r="P34" s="2"/>
    </row>
    <row r="35" spans="1:16" ht="15.75">
      <c r="A35" s="2"/>
      <c r="B35" s="365" t="s">
        <v>279</v>
      </c>
      <c r="C35" s="366">
        <v>49.843000000000004</v>
      </c>
      <c r="D35" s="366">
        <v>125.047</v>
      </c>
      <c r="E35" s="366">
        <v>195.453</v>
      </c>
      <c r="F35" s="366">
        <v>-4.7489999999999997</v>
      </c>
      <c r="G35" s="366">
        <v>42.417000000000002</v>
      </c>
      <c r="H35" s="366">
        <v>-53.952999999999996</v>
      </c>
      <c r="I35" s="366">
        <v>96.347999999999999</v>
      </c>
      <c r="J35" s="366">
        <v>-123.095</v>
      </c>
      <c r="K35" s="366">
        <v>71.800000000000011</v>
      </c>
      <c r="L35" s="366">
        <v>-155.18</v>
      </c>
      <c r="M35" s="366">
        <v>-33.277999999999999</v>
      </c>
      <c r="N35" s="366">
        <v>63.291000000000004</v>
      </c>
      <c r="O35" s="367">
        <f t="shared" si="11"/>
        <v>273.94400000000007</v>
      </c>
      <c r="P35" s="2"/>
    </row>
    <row r="36" spans="1:16" ht="15.75">
      <c r="A36" s="2"/>
      <c r="B36" s="376" t="s">
        <v>282</v>
      </c>
      <c r="C36" s="366">
        <v>19.283599709999997</v>
      </c>
      <c r="D36" s="366">
        <v>-75.212581920000019</v>
      </c>
      <c r="E36" s="366">
        <v>59.616796000000001</v>
      </c>
      <c r="F36" s="366">
        <v>-161.72331031000002</v>
      </c>
      <c r="G36" s="366">
        <v>83.418028549999988</v>
      </c>
      <c r="H36" s="366">
        <v>-15.174787410000002</v>
      </c>
      <c r="I36" s="366">
        <v>22.03299728</v>
      </c>
      <c r="J36" s="366">
        <v>0.19328432000000006</v>
      </c>
      <c r="K36" s="366">
        <v>-5.9234592899999985</v>
      </c>
      <c r="L36" s="366">
        <v>3.1851000000000029</v>
      </c>
      <c r="M36" s="366">
        <v>-33.208865339999996</v>
      </c>
      <c r="N36" s="366">
        <v>36.635182959999995</v>
      </c>
      <c r="O36" s="367">
        <f t="shared" si="11"/>
        <v>-66.878015450000035</v>
      </c>
      <c r="P36" s="2"/>
    </row>
    <row r="37" spans="1:16" ht="15.75">
      <c r="A37" s="2"/>
      <c r="B37" s="376" t="s">
        <v>283</v>
      </c>
      <c r="C37" s="366">
        <v>0</v>
      </c>
      <c r="D37" s="366">
        <v>0</v>
      </c>
      <c r="E37" s="366">
        <v>0</v>
      </c>
      <c r="F37" s="366">
        <v>0</v>
      </c>
      <c r="G37" s="366">
        <v>0</v>
      </c>
      <c r="H37" s="366">
        <v>0</v>
      </c>
      <c r="I37" s="366">
        <v>0</v>
      </c>
      <c r="J37" s="366">
        <v>0</v>
      </c>
      <c r="K37" s="366">
        <v>0</v>
      </c>
      <c r="L37" s="366">
        <v>0</v>
      </c>
      <c r="M37" s="366">
        <v>0</v>
      </c>
      <c r="N37" s="366">
        <v>0</v>
      </c>
      <c r="O37" s="367">
        <f t="shared" si="11"/>
        <v>0</v>
      </c>
      <c r="P37" s="2"/>
    </row>
    <row r="38" spans="1:16" ht="15.75">
      <c r="A38" s="2"/>
      <c r="B38" s="376" t="s">
        <v>284</v>
      </c>
      <c r="C38" s="366">
        <v>24.072094929999999</v>
      </c>
      <c r="D38" s="366">
        <v>-32.17918469</v>
      </c>
      <c r="E38" s="366">
        <v>-109.31142015</v>
      </c>
      <c r="F38" s="366">
        <v>43.979204680000002</v>
      </c>
      <c r="G38" s="366">
        <v>0.10460344999999832</v>
      </c>
      <c r="H38" s="366">
        <v>213.79437739000002</v>
      </c>
      <c r="I38" s="366">
        <v>33.072260460000003</v>
      </c>
      <c r="J38" s="366">
        <v>48.454341159999998</v>
      </c>
      <c r="K38" s="366">
        <v>27.898482019999999</v>
      </c>
      <c r="L38" s="366">
        <v>26.339685779999996</v>
      </c>
      <c r="M38" s="366">
        <v>27.073354880000004</v>
      </c>
      <c r="N38" s="366">
        <v>157.64627425</v>
      </c>
      <c r="O38" s="367">
        <f t="shared" si="11"/>
        <v>460.94407416000001</v>
      </c>
      <c r="P38" s="2"/>
    </row>
    <row r="39" spans="1:16" ht="15.75">
      <c r="A39" s="2"/>
      <c r="B39" s="376" t="s">
        <v>334</v>
      </c>
      <c r="C39" s="366">
        <v>0</v>
      </c>
      <c r="D39" s="366">
        <v>0</v>
      </c>
      <c r="E39" s="366">
        <v>0</v>
      </c>
      <c r="F39" s="366">
        <v>0</v>
      </c>
      <c r="G39" s="366">
        <v>0</v>
      </c>
      <c r="H39" s="366">
        <v>0</v>
      </c>
      <c r="I39" s="366">
        <v>0</v>
      </c>
      <c r="J39" s="366">
        <v>0</v>
      </c>
      <c r="K39" s="366">
        <v>0</v>
      </c>
      <c r="L39" s="366">
        <v>0</v>
      </c>
      <c r="M39" s="366">
        <v>0</v>
      </c>
      <c r="N39" s="366">
        <v>0</v>
      </c>
      <c r="O39" s="367">
        <f t="shared" si="11"/>
        <v>0</v>
      </c>
      <c r="P39" s="2"/>
    </row>
    <row r="40" spans="1:16" ht="15.75">
      <c r="A40" s="2"/>
      <c r="B40" s="376" t="s">
        <v>335</v>
      </c>
      <c r="C40" s="366">
        <v>-27.569195000000001</v>
      </c>
      <c r="D40" s="366">
        <v>-27.66583</v>
      </c>
      <c r="E40" s="366">
        <v>-27.770758000000001</v>
      </c>
      <c r="F40" s="366">
        <v>-27.448027330000002</v>
      </c>
      <c r="G40" s="366">
        <v>-27.985929479999999</v>
      </c>
      <c r="H40" s="366">
        <v>-27.765205610000002</v>
      </c>
      <c r="I40" s="366">
        <v>-28.198149000000001</v>
      </c>
      <c r="J40" s="366">
        <v>-28.01401512</v>
      </c>
      <c r="K40" s="366">
        <v>-27.653776139999998</v>
      </c>
      <c r="L40" s="366">
        <v>-29.509232910000001</v>
      </c>
      <c r="M40" s="366">
        <v>-30.209213950000002</v>
      </c>
      <c r="N40" s="366">
        <v>-47.350395079999998</v>
      </c>
      <c r="O40" s="367">
        <f t="shared" si="11"/>
        <v>-357.13972762000003</v>
      </c>
      <c r="P40" s="2"/>
    </row>
    <row r="41" spans="1:16" ht="15.75">
      <c r="A41" s="2"/>
      <c r="B41" s="376" t="s">
        <v>336</v>
      </c>
      <c r="C41" s="366">
        <v>-27.834728288999969</v>
      </c>
      <c r="D41" s="366">
        <v>65.187291590000001</v>
      </c>
      <c r="E41" s="366">
        <v>-60.831564946999976</v>
      </c>
      <c r="F41" s="366">
        <v>-1.3673200100000713</v>
      </c>
      <c r="G41" s="366">
        <v>1.8643036759999774</v>
      </c>
      <c r="H41" s="366">
        <v>5.1210841399999367</v>
      </c>
      <c r="I41" s="366">
        <v>-18.742560084000019</v>
      </c>
      <c r="J41" s="366">
        <v>14.658440700000021</v>
      </c>
      <c r="K41" s="366">
        <v>8.6544812330000056</v>
      </c>
      <c r="L41" s="366">
        <v>-25.376334245463937</v>
      </c>
      <c r="M41" s="366">
        <v>24.347848256000024</v>
      </c>
      <c r="N41" s="366">
        <v>-10.770279147999986</v>
      </c>
      <c r="O41" s="367">
        <f t="shared" si="11"/>
        <v>-25.089337128463992</v>
      </c>
      <c r="P41" s="2"/>
    </row>
    <row r="42" spans="1:16" ht="24.95" customHeight="1" thickBot="1">
      <c r="A42" s="2"/>
      <c r="B42" s="377" t="s">
        <v>337</v>
      </c>
      <c r="C42" s="378">
        <f t="shared" ref="C42:N42" si="16">-C28-C31-C34</f>
        <v>0</v>
      </c>
      <c r="D42" s="378">
        <f t="shared" si="16"/>
        <v>0</v>
      </c>
      <c r="E42" s="378">
        <f t="shared" si="16"/>
        <v>0</v>
      </c>
      <c r="F42" s="378">
        <f t="shared" si="16"/>
        <v>0</v>
      </c>
      <c r="G42" s="378">
        <f t="shared" si="16"/>
        <v>0</v>
      </c>
      <c r="H42" s="378">
        <f t="shared" si="16"/>
        <v>0</v>
      </c>
      <c r="I42" s="378">
        <f t="shared" si="16"/>
        <v>0</v>
      </c>
      <c r="J42" s="378">
        <f t="shared" si="16"/>
        <v>0</v>
      </c>
      <c r="K42" s="378">
        <f t="shared" si="16"/>
        <v>0</v>
      </c>
      <c r="L42" s="378">
        <f t="shared" si="16"/>
        <v>0</v>
      </c>
      <c r="M42" s="378">
        <f t="shared" si="16"/>
        <v>0</v>
      </c>
      <c r="N42" s="378">
        <f t="shared" si="16"/>
        <v>0</v>
      </c>
      <c r="O42" s="379">
        <f t="shared" si="11"/>
        <v>0</v>
      </c>
      <c r="P42" s="2"/>
    </row>
    <row r="43" spans="1:16" ht="15.75">
      <c r="A43" s="2"/>
      <c r="B43" s="48" t="s">
        <v>338</v>
      </c>
      <c r="C43" s="380"/>
      <c r="D43" s="380"/>
      <c r="E43" s="380"/>
      <c r="F43" s="380"/>
      <c r="G43" s="380"/>
      <c r="H43" s="380"/>
      <c r="I43" s="380"/>
      <c r="J43" s="380"/>
      <c r="K43" s="380"/>
      <c r="L43" s="380"/>
      <c r="M43" s="380"/>
      <c r="N43" s="380"/>
      <c r="O43" s="268"/>
      <c r="P43" s="2"/>
    </row>
    <row r="44" spans="1:16" ht="15.75">
      <c r="A44" s="2"/>
      <c r="B44" s="48" t="s">
        <v>356</v>
      </c>
      <c r="C44" s="380"/>
      <c r="D44" s="380"/>
      <c r="E44" s="380"/>
      <c r="F44" s="380"/>
      <c r="G44" s="380"/>
      <c r="H44" s="380"/>
      <c r="I44" s="380"/>
      <c r="J44" s="380"/>
      <c r="K44" s="380"/>
      <c r="L44" s="380"/>
      <c r="M44" s="380"/>
      <c r="N44" s="380"/>
      <c r="O44" s="268"/>
      <c r="P44" s="2"/>
    </row>
    <row r="45" spans="1:16">
      <c r="A45" s="2"/>
      <c r="B45" s="329"/>
      <c r="C45" s="268"/>
      <c r="D45" s="268"/>
      <c r="E45" s="268"/>
      <c r="F45" s="268"/>
      <c r="G45" s="268"/>
      <c r="H45" s="268"/>
      <c r="I45" s="268"/>
      <c r="J45" s="268"/>
      <c r="K45" s="268"/>
      <c r="L45" s="268"/>
      <c r="M45" s="268"/>
      <c r="N45" s="268"/>
      <c r="O45" s="268"/>
      <c r="P45" s="329"/>
    </row>
    <row r="46" spans="1:16" ht="16.5" thickBot="1">
      <c r="A46" s="2"/>
      <c r="B46" s="353" t="s">
        <v>340</v>
      </c>
      <c r="C46" s="268"/>
      <c r="D46" s="268"/>
      <c r="E46" s="268"/>
      <c r="F46" s="268"/>
      <c r="G46" s="268"/>
      <c r="H46" s="268"/>
      <c r="I46" s="268"/>
      <c r="J46" s="268"/>
      <c r="K46" s="268"/>
      <c r="L46" s="268"/>
      <c r="M46" s="268"/>
      <c r="N46" s="268"/>
      <c r="O46" s="268"/>
      <c r="P46" s="329"/>
    </row>
    <row r="47" spans="1:16" ht="24.95" customHeight="1" thickBot="1">
      <c r="A47" s="2"/>
      <c r="B47" s="407" t="s">
        <v>357</v>
      </c>
      <c r="C47" s="413">
        <v>27.569195000000001</v>
      </c>
      <c r="D47" s="414">
        <v>27.66583</v>
      </c>
      <c r="E47" s="414">
        <v>27.770758000000001</v>
      </c>
      <c r="F47" s="414">
        <v>27.448027330000002</v>
      </c>
      <c r="G47" s="414">
        <v>27.985929479999999</v>
      </c>
      <c r="H47" s="414">
        <v>27.765205610000002</v>
      </c>
      <c r="I47" s="414">
        <v>28.198149000000001</v>
      </c>
      <c r="J47" s="414">
        <v>28.01401512</v>
      </c>
      <c r="K47" s="414">
        <v>27.653776139999998</v>
      </c>
      <c r="L47" s="414">
        <v>29.509232910000001</v>
      </c>
      <c r="M47" s="414">
        <v>30.209213950000002</v>
      </c>
      <c r="N47" s="415">
        <v>47.350395079999998</v>
      </c>
      <c r="O47" s="416">
        <f>SUM(C47:N47)</f>
        <v>357.13972762000003</v>
      </c>
      <c r="P47" s="329"/>
    </row>
    <row r="48" spans="1:16" ht="15.75">
      <c r="B48" s="353" t="s">
        <v>18</v>
      </c>
      <c r="C48" s="268"/>
      <c r="D48" s="268"/>
      <c r="E48" s="268"/>
      <c r="F48" s="268"/>
      <c r="G48" s="268"/>
      <c r="H48" s="268"/>
      <c r="I48" s="268"/>
      <c r="J48" s="268"/>
      <c r="K48" s="268"/>
      <c r="L48" s="268"/>
      <c r="M48" s="268"/>
      <c r="N48" s="268"/>
      <c r="O48" s="268"/>
    </row>
    <row r="49" spans="2:15" ht="15.75">
      <c r="B49" s="353" t="s">
        <v>363</v>
      </c>
      <c r="C49" s="268"/>
      <c r="D49" s="268"/>
      <c r="E49" s="268"/>
      <c r="F49" s="268"/>
      <c r="G49" s="268"/>
      <c r="H49" s="268"/>
      <c r="I49" s="268"/>
      <c r="J49" s="268"/>
      <c r="K49" s="268"/>
      <c r="L49" s="268"/>
      <c r="M49" s="268"/>
      <c r="N49" s="268"/>
      <c r="O49" s="268"/>
    </row>
    <row r="50" spans="2:15" ht="15.75">
      <c r="B50" s="353" t="s">
        <v>55</v>
      </c>
      <c r="C50" s="2"/>
      <c r="D50" s="2"/>
      <c r="E50" s="2"/>
      <c r="F50" s="2"/>
      <c r="G50" s="2"/>
      <c r="H50" s="2"/>
      <c r="I50" s="2"/>
      <c r="J50" s="2"/>
      <c r="K50" s="2"/>
      <c r="L50" s="2"/>
      <c r="M50" s="2"/>
      <c r="N50" s="2"/>
      <c r="O50" s="2"/>
    </row>
    <row r="51" spans="2:15" ht="15.75" thickBot="1">
      <c r="B51" s="2"/>
      <c r="C51" s="2"/>
      <c r="D51" s="2"/>
      <c r="E51" s="2"/>
      <c r="F51" s="2"/>
      <c r="G51" s="2"/>
      <c r="H51" s="2"/>
      <c r="I51" s="2"/>
      <c r="J51" s="2"/>
      <c r="K51" s="2"/>
      <c r="L51" s="2"/>
      <c r="M51" s="2"/>
      <c r="N51" s="2"/>
      <c r="O51" s="2"/>
    </row>
    <row r="52" spans="2:15" ht="31.5">
      <c r="B52" s="355" t="s">
        <v>238</v>
      </c>
      <c r="C52" s="356" t="s">
        <v>59</v>
      </c>
      <c r="D52" s="356" t="s">
        <v>60</v>
      </c>
      <c r="E52" s="356" t="s">
        <v>61</v>
      </c>
      <c r="F52" s="356" t="s">
        <v>62</v>
      </c>
      <c r="G52" s="356" t="s">
        <v>63</v>
      </c>
      <c r="H52" s="356" t="s">
        <v>64</v>
      </c>
      <c r="I52" s="356" t="s">
        <v>65</v>
      </c>
      <c r="J52" s="356" t="s">
        <v>66</v>
      </c>
      <c r="K52" s="356" t="s">
        <v>67</v>
      </c>
      <c r="L52" s="356" t="s">
        <v>68</v>
      </c>
      <c r="M52" s="356" t="s">
        <v>69</v>
      </c>
      <c r="N52" s="356" t="s">
        <v>70</v>
      </c>
      <c r="O52" s="357" t="s">
        <v>362</v>
      </c>
    </row>
    <row r="53" spans="2:15" ht="15.75">
      <c r="B53" s="358"/>
      <c r="C53" s="359"/>
      <c r="D53" s="359"/>
      <c r="E53" s="359"/>
      <c r="F53" s="359"/>
      <c r="G53" s="359"/>
      <c r="H53" s="359"/>
      <c r="I53" s="359"/>
      <c r="J53" s="359"/>
      <c r="K53" s="359"/>
      <c r="L53" s="359"/>
      <c r="M53" s="359"/>
      <c r="N53" s="359"/>
      <c r="O53" s="360"/>
    </row>
    <row r="54" spans="2:15" ht="24.95" customHeight="1">
      <c r="B54" s="390" t="s">
        <v>239</v>
      </c>
      <c r="C54" s="391">
        <f t="shared" ref="C54:O69" si="17">C7/$O$89</f>
        <v>1.7308327733912547E-2</v>
      </c>
      <c r="D54" s="391">
        <f t="shared" si="17"/>
        <v>1.5630067059050564E-2</v>
      </c>
      <c r="E54" s="391">
        <f t="shared" si="17"/>
        <v>1.7024678683938352E-2</v>
      </c>
      <c r="F54" s="391">
        <f t="shared" si="17"/>
        <v>2.6945091973512466E-2</v>
      </c>
      <c r="G54" s="391">
        <f t="shared" si="17"/>
        <v>1.5436428743945119E-2</v>
      </c>
      <c r="H54" s="391">
        <f t="shared" si="17"/>
        <v>1.6528145715072488E-2</v>
      </c>
      <c r="I54" s="391">
        <f t="shared" si="17"/>
        <v>1.7128580293550712E-2</v>
      </c>
      <c r="J54" s="391">
        <f t="shared" si="17"/>
        <v>1.6386465462827248E-2</v>
      </c>
      <c r="K54" s="391">
        <f t="shared" si="17"/>
        <v>1.6397605192726334E-2</v>
      </c>
      <c r="L54" s="391">
        <f t="shared" si="17"/>
        <v>1.7044528869675498E-2</v>
      </c>
      <c r="M54" s="391">
        <f t="shared" si="17"/>
        <v>1.7579259769719299E-2</v>
      </c>
      <c r="N54" s="391">
        <f t="shared" si="17"/>
        <v>2.3083392555475087E-2</v>
      </c>
      <c r="O54" s="392">
        <f t="shared" si="17"/>
        <v>0.21649257205340572</v>
      </c>
    </row>
    <row r="55" spans="2:15" ht="21" customHeight="1">
      <c r="B55" s="376" t="s">
        <v>240</v>
      </c>
      <c r="C55" s="393">
        <f t="shared" si="17"/>
        <v>1.7048578689033776E-2</v>
      </c>
      <c r="D55" s="393">
        <f t="shared" si="17"/>
        <v>1.4941015003859519E-2</v>
      </c>
      <c r="E55" s="393">
        <f t="shared" si="17"/>
        <v>1.5640811890825633E-2</v>
      </c>
      <c r="F55" s="393">
        <f t="shared" si="17"/>
        <v>2.6584609006327007E-2</v>
      </c>
      <c r="G55" s="393">
        <f t="shared" si="17"/>
        <v>1.4843885178600084E-2</v>
      </c>
      <c r="H55" s="393">
        <f t="shared" si="17"/>
        <v>1.5994155793173433E-2</v>
      </c>
      <c r="I55" s="393">
        <f t="shared" si="17"/>
        <v>1.6551069573642992E-2</v>
      </c>
      <c r="J55" s="393">
        <f t="shared" si="17"/>
        <v>1.5931069887065861E-2</v>
      </c>
      <c r="K55" s="393">
        <f t="shared" si="17"/>
        <v>1.5549600503308775E-2</v>
      </c>
      <c r="L55" s="393">
        <f t="shared" si="17"/>
        <v>1.6665120020873031E-2</v>
      </c>
      <c r="M55" s="393">
        <f t="shared" si="17"/>
        <v>1.6821188235367459E-2</v>
      </c>
      <c r="N55" s="393">
        <f t="shared" si="17"/>
        <v>2.0995828857779088E-2</v>
      </c>
      <c r="O55" s="394">
        <f t="shared" si="17"/>
        <v>0.20756693263985668</v>
      </c>
    </row>
    <row r="56" spans="2:15" ht="18.75">
      <c r="B56" s="371" t="s">
        <v>351</v>
      </c>
      <c r="C56" s="393">
        <f t="shared" si="17"/>
        <v>1.3768366423965414E-2</v>
      </c>
      <c r="D56" s="393">
        <f t="shared" si="17"/>
        <v>1.2026246438622896E-2</v>
      </c>
      <c r="E56" s="393">
        <f t="shared" si="17"/>
        <v>1.2669145152407427E-2</v>
      </c>
      <c r="F56" s="393">
        <f t="shared" si="17"/>
        <v>2.3985597676594438E-2</v>
      </c>
      <c r="G56" s="393">
        <f t="shared" si="17"/>
        <v>1.2416716310565094E-2</v>
      </c>
      <c r="H56" s="393">
        <f t="shared" si="17"/>
        <v>1.3242957382187262E-2</v>
      </c>
      <c r="I56" s="393">
        <f t="shared" si="17"/>
        <v>1.3092586590791809E-2</v>
      </c>
      <c r="J56" s="393">
        <f t="shared" si="17"/>
        <v>1.2393002156882729E-2</v>
      </c>
      <c r="K56" s="393">
        <f t="shared" si="17"/>
        <v>1.2283834008928921E-2</v>
      </c>
      <c r="L56" s="393">
        <f t="shared" si="17"/>
        <v>1.3210427971825553E-2</v>
      </c>
      <c r="M56" s="393">
        <f t="shared" si="17"/>
        <v>1.3571014338743883E-2</v>
      </c>
      <c r="N56" s="393">
        <f t="shared" si="17"/>
        <v>1.385037572040642E-2</v>
      </c>
      <c r="O56" s="394">
        <f t="shared" si="17"/>
        <v>0.16651027017192183</v>
      </c>
    </row>
    <row r="57" spans="2:15" ht="15.75">
      <c r="B57" s="371" t="s">
        <v>317</v>
      </c>
      <c r="C57" s="393">
        <f t="shared" si="17"/>
        <v>2.7376352353002398E-3</v>
      </c>
      <c r="D57" s="393">
        <f t="shared" si="17"/>
        <v>2.6326061680666448E-3</v>
      </c>
      <c r="E57" s="393">
        <f t="shared" si="17"/>
        <v>2.6965934479334262E-3</v>
      </c>
      <c r="F57" s="393">
        <f t="shared" si="17"/>
        <v>2.3848683206562043E-3</v>
      </c>
      <c r="G57" s="393">
        <f t="shared" si="17"/>
        <v>2.3385921491420178E-3</v>
      </c>
      <c r="H57" s="393">
        <f t="shared" si="17"/>
        <v>2.4855750735042221E-3</v>
      </c>
      <c r="I57" s="393">
        <f t="shared" si="17"/>
        <v>2.5376380539919945E-3</v>
      </c>
      <c r="J57" s="393">
        <f t="shared" si="17"/>
        <v>2.4932257696260612E-3</v>
      </c>
      <c r="K57" s="393">
        <f t="shared" si="17"/>
        <v>2.513892281026804E-3</v>
      </c>
      <c r="L57" s="393">
        <f t="shared" si="17"/>
        <v>2.8177767656191051E-3</v>
      </c>
      <c r="M57" s="393">
        <f t="shared" si="17"/>
        <v>2.6792956969674633E-3</v>
      </c>
      <c r="N57" s="393">
        <f t="shared" si="17"/>
        <v>7.0002411634482392E-3</v>
      </c>
      <c r="O57" s="394">
        <f t="shared" si="17"/>
        <v>3.5317940125282415E-2</v>
      </c>
    </row>
    <row r="58" spans="2:15" ht="15.75">
      <c r="B58" s="371" t="s">
        <v>318</v>
      </c>
      <c r="C58" s="393">
        <f t="shared" si="17"/>
        <v>5.4257702976812582E-4</v>
      </c>
      <c r="D58" s="393">
        <f t="shared" si="17"/>
        <v>2.8216239716997901E-4</v>
      </c>
      <c r="E58" s="393">
        <f t="shared" si="17"/>
        <v>2.7507329048478101E-4</v>
      </c>
      <c r="F58" s="393">
        <f t="shared" si="17"/>
        <v>2.1414300907636198E-4</v>
      </c>
      <c r="G58" s="393">
        <f t="shared" si="17"/>
        <v>8.8576718892969961E-5</v>
      </c>
      <c r="H58" s="393">
        <f t="shared" si="17"/>
        <v>2.6562333748194895E-4</v>
      </c>
      <c r="I58" s="393">
        <f t="shared" si="17"/>
        <v>9.2084492885918866E-4</v>
      </c>
      <c r="J58" s="393">
        <f t="shared" si="17"/>
        <v>1.0448419605570711E-3</v>
      </c>
      <c r="K58" s="393">
        <f t="shared" si="17"/>
        <v>7.5187421335304999E-4</v>
      </c>
      <c r="L58" s="393">
        <f t="shared" si="17"/>
        <v>6.3691528342837522E-4</v>
      </c>
      <c r="M58" s="393">
        <f t="shared" si="17"/>
        <v>5.7087819965611329E-4</v>
      </c>
      <c r="N58" s="393">
        <f t="shared" si="17"/>
        <v>1.4521197392443141E-4</v>
      </c>
      <c r="O58" s="394">
        <f t="shared" si="17"/>
        <v>5.7387223426523951E-3</v>
      </c>
    </row>
    <row r="59" spans="2:15" ht="21" customHeight="1">
      <c r="B59" s="376" t="s">
        <v>244</v>
      </c>
      <c r="C59" s="393">
        <f t="shared" si="17"/>
        <v>0</v>
      </c>
      <c r="D59" s="393">
        <f t="shared" si="17"/>
        <v>5.9375214116279777E-6</v>
      </c>
      <c r="E59" s="393">
        <f t="shared" si="17"/>
        <v>0</v>
      </c>
      <c r="F59" s="393">
        <f t="shared" si="17"/>
        <v>0</v>
      </c>
      <c r="G59" s="393">
        <f t="shared" si="17"/>
        <v>0</v>
      </c>
      <c r="H59" s="393">
        <f t="shared" si="17"/>
        <v>4.0654989830831883E-8</v>
      </c>
      <c r="I59" s="393">
        <f t="shared" si="17"/>
        <v>0</v>
      </c>
      <c r="J59" s="393">
        <f t="shared" si="17"/>
        <v>0</v>
      </c>
      <c r="K59" s="393">
        <f t="shared" si="17"/>
        <v>0</v>
      </c>
      <c r="L59" s="393">
        <f t="shared" si="17"/>
        <v>0</v>
      </c>
      <c r="M59" s="393">
        <f t="shared" si="17"/>
        <v>6.5544175169883654E-6</v>
      </c>
      <c r="N59" s="393">
        <f t="shared" si="17"/>
        <v>0</v>
      </c>
      <c r="O59" s="394">
        <f t="shared" si="17"/>
        <v>1.2532593918447174E-5</v>
      </c>
    </row>
    <row r="60" spans="2:15" ht="21" customHeight="1">
      <c r="B60" s="376" t="s">
        <v>245</v>
      </c>
      <c r="C60" s="393">
        <f t="shared" si="17"/>
        <v>2.5974904487877223E-4</v>
      </c>
      <c r="D60" s="393">
        <f t="shared" si="17"/>
        <v>6.8311453377941798E-4</v>
      </c>
      <c r="E60" s="393">
        <f t="shared" si="17"/>
        <v>1.3838667931127197E-3</v>
      </c>
      <c r="F60" s="393">
        <f t="shared" si="17"/>
        <v>3.6048296718546054E-4</v>
      </c>
      <c r="G60" s="393">
        <f t="shared" si="17"/>
        <v>5.9254356534503615E-4</v>
      </c>
      <c r="H60" s="393">
        <f t="shared" si="17"/>
        <v>5.3394926690922338E-4</v>
      </c>
      <c r="I60" s="393">
        <f t="shared" si="17"/>
        <v>5.7751071990771866E-4</v>
      </c>
      <c r="J60" s="393">
        <f t="shared" si="17"/>
        <v>4.5539557576138663E-4</v>
      </c>
      <c r="K60" s="393">
        <f t="shared" si="17"/>
        <v>8.4800468941756033E-4</v>
      </c>
      <c r="L60" s="393">
        <f t="shared" si="17"/>
        <v>3.7940884880246665E-4</v>
      </c>
      <c r="M60" s="393">
        <f t="shared" si="17"/>
        <v>7.5151711683485195E-4</v>
      </c>
      <c r="N60" s="393">
        <f t="shared" si="17"/>
        <v>2.0875636976960005E-3</v>
      </c>
      <c r="O60" s="394">
        <f t="shared" si="17"/>
        <v>8.9131068196306139E-3</v>
      </c>
    </row>
    <row r="61" spans="2:15" ht="24.95" customHeight="1">
      <c r="B61" s="390" t="s">
        <v>246</v>
      </c>
      <c r="C61" s="391">
        <f t="shared" si="17"/>
        <v>1.9350312486177305E-2</v>
      </c>
      <c r="D61" s="391">
        <f t="shared" si="17"/>
        <v>1.7935801848663703E-2</v>
      </c>
      <c r="E61" s="391">
        <f t="shared" si="17"/>
        <v>1.9249807744721358E-2</v>
      </c>
      <c r="F61" s="391">
        <f t="shared" si="17"/>
        <v>1.8323128960338074E-2</v>
      </c>
      <c r="G61" s="391">
        <f t="shared" si="17"/>
        <v>1.8821986909635342E-2</v>
      </c>
      <c r="H61" s="391">
        <f t="shared" si="17"/>
        <v>2.2158632431732141E-2</v>
      </c>
      <c r="I61" s="391">
        <f t="shared" si="17"/>
        <v>2.1875860024056917E-2</v>
      </c>
      <c r="J61" s="391">
        <f t="shared" si="17"/>
        <v>1.7306595824949374E-2</v>
      </c>
      <c r="K61" s="391">
        <f t="shared" si="17"/>
        <v>1.9355107787761439E-2</v>
      </c>
      <c r="L61" s="391">
        <f t="shared" si="17"/>
        <v>1.9697381799682567E-2</v>
      </c>
      <c r="M61" s="391">
        <f t="shared" si="17"/>
        <v>1.8923723757854546E-2</v>
      </c>
      <c r="N61" s="391">
        <f t="shared" si="17"/>
        <v>3.3842473590735438E-2</v>
      </c>
      <c r="O61" s="392">
        <f t="shared" si="17"/>
        <v>0.24684081316630818</v>
      </c>
    </row>
    <row r="62" spans="2:15" ht="21" customHeight="1">
      <c r="B62" s="376" t="s">
        <v>247</v>
      </c>
      <c r="C62" s="393">
        <f t="shared" si="17"/>
        <v>1.6720757434442474E-2</v>
      </c>
      <c r="D62" s="393">
        <f t="shared" si="17"/>
        <v>1.5352025290656077E-2</v>
      </c>
      <c r="E62" s="393">
        <f t="shared" si="17"/>
        <v>1.5018330557591318E-2</v>
      </c>
      <c r="F62" s="393">
        <f t="shared" si="17"/>
        <v>1.599861267069675E-2</v>
      </c>
      <c r="G62" s="393">
        <f t="shared" si="17"/>
        <v>1.6153238756456016E-2</v>
      </c>
      <c r="H62" s="393">
        <f t="shared" si="17"/>
        <v>1.944264788496481E-2</v>
      </c>
      <c r="I62" s="393">
        <f t="shared" si="17"/>
        <v>1.8802139033831461E-2</v>
      </c>
      <c r="J62" s="393">
        <f t="shared" si="17"/>
        <v>1.4743144089469166E-2</v>
      </c>
      <c r="K62" s="393">
        <f t="shared" si="17"/>
        <v>1.6116494594512552E-2</v>
      </c>
      <c r="L62" s="393">
        <f t="shared" si="17"/>
        <v>1.6591447388648695E-2</v>
      </c>
      <c r="M62" s="393">
        <f t="shared" si="17"/>
        <v>1.6427912978102685E-2</v>
      </c>
      <c r="N62" s="393">
        <f t="shared" si="17"/>
        <v>2.8760106140096015E-2</v>
      </c>
      <c r="O62" s="394">
        <f t="shared" si="17"/>
        <v>0.21012685681946799</v>
      </c>
    </row>
    <row r="63" spans="2:15" ht="15.75">
      <c r="B63" s="371" t="s">
        <v>321</v>
      </c>
      <c r="C63" s="393">
        <f t="shared" si="17"/>
        <v>1.0276969916933726E-2</v>
      </c>
      <c r="D63" s="393">
        <f t="shared" si="17"/>
        <v>1.1228913615735543E-2</v>
      </c>
      <c r="E63" s="393">
        <f t="shared" si="17"/>
        <v>1.0352653428679224E-2</v>
      </c>
      <c r="F63" s="393">
        <f t="shared" si="17"/>
        <v>1.0621461433592513E-2</v>
      </c>
      <c r="G63" s="393">
        <f t="shared" si="17"/>
        <v>1.108855472053218E-2</v>
      </c>
      <c r="H63" s="393">
        <f t="shared" si="17"/>
        <v>1.2555122818182213E-2</v>
      </c>
      <c r="I63" s="393">
        <f t="shared" si="17"/>
        <v>1.1247567322765929E-2</v>
      </c>
      <c r="J63" s="393">
        <f t="shared" si="17"/>
        <v>1.0646630881421863E-2</v>
      </c>
      <c r="K63" s="393">
        <f t="shared" si="17"/>
        <v>1.1516888606411996E-2</v>
      </c>
      <c r="L63" s="393">
        <f t="shared" si="17"/>
        <v>1.1391522195456182E-2</v>
      </c>
      <c r="M63" s="393">
        <f t="shared" si="17"/>
        <v>1.1244235181906688E-2</v>
      </c>
      <c r="N63" s="393">
        <f t="shared" si="17"/>
        <v>2.1685847459984649E-2</v>
      </c>
      <c r="O63" s="394">
        <f t="shared" si="17"/>
        <v>0.1438563675816027</v>
      </c>
    </row>
    <row r="64" spans="2:15" ht="15.75">
      <c r="B64" s="395" t="s">
        <v>322</v>
      </c>
      <c r="C64" s="393">
        <f t="shared" si="17"/>
        <v>7.0608455731052608E-3</v>
      </c>
      <c r="D64" s="393">
        <f t="shared" si="17"/>
        <v>7.0136971349615577E-3</v>
      </c>
      <c r="E64" s="393">
        <f t="shared" si="17"/>
        <v>7.0748843943924302E-3</v>
      </c>
      <c r="F64" s="393">
        <f t="shared" si="17"/>
        <v>6.9507990807635769E-3</v>
      </c>
      <c r="G64" s="393">
        <f t="shared" si="17"/>
        <v>7.151701785079294E-3</v>
      </c>
      <c r="H64" s="393">
        <f t="shared" si="17"/>
        <v>8.2453991222316662E-3</v>
      </c>
      <c r="I64" s="393">
        <f t="shared" si="17"/>
        <v>7.2667080085722403E-3</v>
      </c>
      <c r="J64" s="393">
        <f t="shared" si="17"/>
        <v>7.1946482164384935E-3</v>
      </c>
      <c r="K64" s="393">
        <f t="shared" si="17"/>
        <v>7.176398818565995E-3</v>
      </c>
      <c r="L64" s="393">
        <f t="shared" si="17"/>
        <v>7.1279298114367371E-3</v>
      </c>
      <c r="M64" s="393">
        <f t="shared" si="17"/>
        <v>7.1091038263392291E-3</v>
      </c>
      <c r="N64" s="393">
        <f t="shared" si="17"/>
        <v>1.3324511630796319E-2</v>
      </c>
      <c r="O64" s="394">
        <f t="shared" si="17"/>
        <v>9.2696627402682807E-2</v>
      </c>
    </row>
    <row r="65" spans="2:16" ht="15.75">
      <c r="B65" s="395" t="s">
        <v>323</v>
      </c>
      <c r="C65" s="393">
        <f t="shared" si="17"/>
        <v>3.2161243438284639E-3</v>
      </c>
      <c r="D65" s="393">
        <f t="shared" si="17"/>
        <v>4.2152164807739848E-3</v>
      </c>
      <c r="E65" s="393">
        <f t="shared" si="17"/>
        <v>3.2777690342867928E-3</v>
      </c>
      <c r="F65" s="393">
        <f t="shared" si="17"/>
        <v>3.6706623528289365E-3</v>
      </c>
      <c r="G65" s="393">
        <f t="shared" si="17"/>
        <v>3.9368529354528855E-3</v>
      </c>
      <c r="H65" s="393">
        <f t="shared" si="17"/>
        <v>4.3097236959505469E-3</v>
      </c>
      <c r="I65" s="393">
        <f t="shared" si="17"/>
        <v>3.9808593141936865E-3</v>
      </c>
      <c r="J65" s="393">
        <f t="shared" si="17"/>
        <v>3.4519826649833697E-3</v>
      </c>
      <c r="K65" s="393">
        <f t="shared" si="17"/>
        <v>4.3404897878460014E-3</v>
      </c>
      <c r="L65" s="393">
        <f t="shared" si="17"/>
        <v>4.2635923840194457E-3</v>
      </c>
      <c r="M65" s="393">
        <f t="shared" si="17"/>
        <v>4.1351313555674576E-3</v>
      </c>
      <c r="N65" s="393">
        <f t="shared" si="17"/>
        <v>8.3613358291883318E-3</v>
      </c>
      <c r="O65" s="394">
        <f t="shared" si="17"/>
        <v>5.1159740178919902E-2</v>
      </c>
    </row>
    <row r="66" spans="2:16" ht="15.75">
      <c r="B66" s="371" t="s">
        <v>352</v>
      </c>
      <c r="C66" s="393">
        <f t="shared" si="17"/>
        <v>4.1104508107147044E-3</v>
      </c>
      <c r="D66" s="393">
        <f t="shared" si="17"/>
        <v>1.2264792659551864E-3</v>
      </c>
      <c r="E66" s="393">
        <f t="shared" si="17"/>
        <v>1.4126133829721725E-3</v>
      </c>
      <c r="F66" s="393">
        <f t="shared" si="17"/>
        <v>1.8165567798429311E-3</v>
      </c>
      <c r="G66" s="393">
        <f t="shared" si="17"/>
        <v>1.4670751342156731E-3</v>
      </c>
      <c r="H66" s="393">
        <f t="shared" si="17"/>
        <v>3.5237039395227218E-3</v>
      </c>
      <c r="I66" s="393">
        <f t="shared" si="17"/>
        <v>4.1150859180872435E-3</v>
      </c>
      <c r="J66" s="393">
        <f t="shared" si="17"/>
        <v>8.102440394364244E-4</v>
      </c>
      <c r="K66" s="393">
        <f t="shared" si="17"/>
        <v>1.2582981149094315E-3</v>
      </c>
      <c r="L66" s="393">
        <f t="shared" si="17"/>
        <v>1.9409649879227578E-3</v>
      </c>
      <c r="M66" s="393">
        <f t="shared" si="17"/>
        <v>2.2127764344164547E-3</v>
      </c>
      <c r="N66" s="393">
        <f t="shared" si="17"/>
        <v>3.6386645686885028E-3</v>
      </c>
      <c r="O66" s="394">
        <f t="shared" si="17"/>
        <v>2.7532913376684204E-2</v>
      </c>
    </row>
    <row r="67" spans="2:16" ht="15.75">
      <c r="B67" s="371" t="s">
        <v>325</v>
      </c>
      <c r="C67" s="393">
        <f t="shared" si="17"/>
        <v>2.3333367067940457E-3</v>
      </c>
      <c r="D67" s="393">
        <f t="shared" si="17"/>
        <v>2.8966324089653474E-3</v>
      </c>
      <c r="E67" s="393">
        <f t="shared" si="17"/>
        <v>3.2530637459399223E-3</v>
      </c>
      <c r="F67" s="393">
        <f t="shared" si="17"/>
        <v>3.5605944572613063E-3</v>
      </c>
      <c r="G67" s="393">
        <f t="shared" si="17"/>
        <v>3.5976089017081604E-3</v>
      </c>
      <c r="H67" s="393">
        <f t="shared" si="17"/>
        <v>3.3638211272598757E-3</v>
      </c>
      <c r="I67" s="393">
        <f t="shared" si="17"/>
        <v>3.4394857929782876E-3</v>
      </c>
      <c r="J67" s="393">
        <f t="shared" si="17"/>
        <v>3.2862691686108788E-3</v>
      </c>
      <c r="K67" s="393">
        <f t="shared" si="17"/>
        <v>3.3413078731911244E-3</v>
      </c>
      <c r="L67" s="393">
        <f t="shared" si="17"/>
        <v>3.2589602052697543E-3</v>
      </c>
      <c r="M67" s="393">
        <f t="shared" si="17"/>
        <v>2.9709013617795401E-3</v>
      </c>
      <c r="N67" s="393">
        <f t="shared" si="17"/>
        <v>3.4355941114228598E-3</v>
      </c>
      <c r="O67" s="394">
        <f t="shared" si="17"/>
        <v>3.8737575861181102E-2</v>
      </c>
    </row>
    <row r="68" spans="2:16" ht="21" customHeight="1">
      <c r="B68" s="376" t="s">
        <v>259</v>
      </c>
      <c r="C68" s="393">
        <f t="shared" si="17"/>
        <v>2.6295550517348295E-3</v>
      </c>
      <c r="D68" s="393">
        <f t="shared" si="17"/>
        <v>2.5837765580076235E-3</v>
      </c>
      <c r="E68" s="393">
        <f t="shared" si="17"/>
        <v>4.2314771871300397E-3</v>
      </c>
      <c r="F68" s="393">
        <f t="shared" si="17"/>
        <v>2.3245162896413257E-3</v>
      </c>
      <c r="G68" s="393">
        <f t="shared" si="17"/>
        <v>2.6687481531793293E-3</v>
      </c>
      <c r="H68" s="393">
        <f t="shared" si="17"/>
        <v>2.7432692742596462E-3</v>
      </c>
      <c r="I68" s="393">
        <f t="shared" si="17"/>
        <v>3.0737209902254566E-3</v>
      </c>
      <c r="J68" s="393">
        <f t="shared" si="17"/>
        <v>2.5634517354802067E-3</v>
      </c>
      <c r="K68" s="393">
        <f t="shared" si="17"/>
        <v>3.2386131932488869E-3</v>
      </c>
      <c r="L68" s="393">
        <f t="shared" si="17"/>
        <v>3.105934411033873E-3</v>
      </c>
      <c r="M68" s="393">
        <f t="shared" si="17"/>
        <v>2.4958107797518636E-3</v>
      </c>
      <c r="N68" s="393">
        <f t="shared" si="17"/>
        <v>5.0823674506394216E-3</v>
      </c>
      <c r="O68" s="394">
        <f t="shared" si="17"/>
        <v>3.6741241074332499E-2</v>
      </c>
    </row>
    <row r="69" spans="2:16" ht="15.75">
      <c r="B69" s="371" t="s">
        <v>260</v>
      </c>
      <c r="C69" s="393">
        <f t="shared" si="17"/>
        <v>2.5666781816052974E-3</v>
      </c>
      <c r="D69" s="393">
        <f t="shared" si="17"/>
        <v>1.961733365062294E-3</v>
      </c>
      <c r="E69" s="393">
        <f t="shared" si="17"/>
        <v>3.4005745205963602E-3</v>
      </c>
      <c r="F69" s="393">
        <f t="shared" si="17"/>
        <v>2.250712910181744E-3</v>
      </c>
      <c r="G69" s="393">
        <f t="shared" si="17"/>
        <v>2.3982139314350889E-3</v>
      </c>
      <c r="H69" s="393">
        <f t="shared" si="17"/>
        <v>2.6078686117459319E-3</v>
      </c>
      <c r="I69" s="393">
        <f t="shared" si="17"/>
        <v>2.7240766568805592E-3</v>
      </c>
      <c r="J69" s="393">
        <f t="shared" si="17"/>
        <v>2.0827573786096217E-3</v>
      </c>
      <c r="K69" s="393">
        <f t="shared" si="17"/>
        <v>3.1143130602257602E-3</v>
      </c>
      <c r="L69" s="393">
        <f t="shared" si="17"/>
        <v>3.0690525842479804E-3</v>
      </c>
      <c r="M69" s="393">
        <f t="shared" si="17"/>
        <v>2.440500560496793E-3</v>
      </c>
      <c r="N69" s="393">
        <f t="shared" si="17"/>
        <v>5.0505043441211803E-3</v>
      </c>
      <c r="O69" s="394">
        <f t="shared" si="17"/>
        <v>3.3666986105208616E-2</v>
      </c>
    </row>
    <row r="70" spans="2:16" ht="15.75">
      <c r="B70" s="371" t="s">
        <v>326</v>
      </c>
      <c r="C70" s="393">
        <f t="shared" ref="C70:O73" si="18">C23/$O$89</f>
        <v>6.2876870129532214E-5</v>
      </c>
      <c r="D70" s="393">
        <f t="shared" si="18"/>
        <v>6.2204319294532939E-4</v>
      </c>
      <c r="E70" s="393">
        <f t="shared" si="18"/>
        <v>8.3090266653367971E-4</v>
      </c>
      <c r="F70" s="393">
        <f t="shared" si="18"/>
        <v>7.3803379459581363E-5</v>
      </c>
      <c r="G70" s="393">
        <f t="shared" si="18"/>
        <v>2.7053422174424006E-4</v>
      </c>
      <c r="H70" s="393">
        <f t="shared" si="18"/>
        <v>1.3540066251371428E-4</v>
      </c>
      <c r="I70" s="393">
        <f t="shared" si="18"/>
        <v>3.496443333448975E-4</v>
      </c>
      <c r="J70" s="393">
        <f t="shared" si="18"/>
        <v>4.8069435687058488E-4</v>
      </c>
      <c r="K70" s="393">
        <f t="shared" si="18"/>
        <v>1.2430013302312673E-4</v>
      </c>
      <c r="L70" s="393">
        <f t="shared" si="18"/>
        <v>3.6881826785892389E-5</v>
      </c>
      <c r="M70" s="393">
        <f t="shared" si="18"/>
        <v>5.531021925507049E-5</v>
      </c>
      <c r="N70" s="393">
        <f t="shared" si="18"/>
        <v>3.1863106518241625E-5</v>
      </c>
      <c r="O70" s="394">
        <f t="shared" si="18"/>
        <v>3.0742549691238903E-3</v>
      </c>
    </row>
    <row r="71" spans="2:16" ht="21" customHeight="1">
      <c r="B71" s="376" t="s">
        <v>327</v>
      </c>
      <c r="C71" s="393">
        <f t="shared" si="18"/>
        <v>0</v>
      </c>
      <c r="D71" s="393">
        <f t="shared" si="18"/>
        <v>0</v>
      </c>
      <c r="E71" s="393">
        <f t="shared" si="18"/>
        <v>0</v>
      </c>
      <c r="F71" s="393">
        <f t="shared" si="18"/>
        <v>0</v>
      </c>
      <c r="G71" s="393">
        <f t="shared" si="18"/>
        <v>0</v>
      </c>
      <c r="H71" s="393">
        <f t="shared" si="18"/>
        <v>-2.72847274923135E-5</v>
      </c>
      <c r="I71" s="393">
        <f t="shared" si="18"/>
        <v>0</v>
      </c>
      <c r="J71" s="393">
        <f t="shared" si="18"/>
        <v>0</v>
      </c>
      <c r="K71" s="393">
        <f t="shared" si="18"/>
        <v>0</v>
      </c>
      <c r="L71" s="393">
        <f t="shared" si="18"/>
        <v>0</v>
      </c>
      <c r="M71" s="393">
        <f t="shared" si="18"/>
        <v>0</v>
      </c>
      <c r="N71" s="393">
        <f t="shared" si="18"/>
        <v>0</v>
      </c>
      <c r="O71" s="394">
        <f t="shared" si="18"/>
        <v>-2.72847274923135E-5</v>
      </c>
    </row>
    <row r="72" spans="2:16" ht="24.95" customHeight="1">
      <c r="B72" s="390" t="s">
        <v>269</v>
      </c>
      <c r="C72" s="391">
        <f t="shared" si="18"/>
        <v>3.2782125459130356E-4</v>
      </c>
      <c r="D72" s="391">
        <f t="shared" si="18"/>
        <v>-4.1101028679655938E-4</v>
      </c>
      <c r="E72" s="391">
        <f t="shared" si="18"/>
        <v>6.2248133323431528E-4</v>
      </c>
      <c r="F72" s="391">
        <f t="shared" si="18"/>
        <v>1.0585996335630257E-2</v>
      </c>
      <c r="G72" s="391">
        <f t="shared" si="18"/>
        <v>-1.3093535778559312E-3</v>
      </c>
      <c r="H72" s="391">
        <f t="shared" si="18"/>
        <v>-3.4484920917913753E-3</v>
      </c>
      <c r="I72" s="391">
        <f t="shared" si="18"/>
        <v>-2.2510694601884677E-3</v>
      </c>
      <c r="J72" s="391">
        <f t="shared" si="18"/>
        <v>1.1879257975966945E-3</v>
      </c>
      <c r="K72" s="391">
        <f t="shared" si="18"/>
        <v>-5.6689409120377779E-4</v>
      </c>
      <c r="L72" s="391">
        <f t="shared" si="18"/>
        <v>7.3672632224336531E-5</v>
      </c>
      <c r="M72" s="391">
        <f t="shared" si="18"/>
        <v>3.9327525726477568E-4</v>
      </c>
      <c r="N72" s="391">
        <f t="shared" si="18"/>
        <v>-7.764277282316925E-3</v>
      </c>
      <c r="O72" s="392">
        <f t="shared" si="18"/>
        <v>-2.5599241796113543E-3</v>
      </c>
    </row>
    <row r="73" spans="2:16" ht="39.950000000000003" customHeight="1">
      <c r="B73" s="396" t="s">
        <v>354</v>
      </c>
      <c r="C73" s="391">
        <f t="shared" si="18"/>
        <v>2.068466058449949E-3</v>
      </c>
      <c r="D73" s="391">
        <f t="shared" si="18"/>
        <v>-1.0792555236579507E-3</v>
      </c>
      <c r="E73" s="391">
        <f t="shared" si="18"/>
        <v>-8.1251567781083359E-4</v>
      </c>
      <c r="F73" s="391">
        <f t="shared" si="18"/>
        <v>1.0438519793017322E-2</v>
      </c>
      <c r="G73" s="391">
        <f t="shared" si="18"/>
        <v>-1.9184830314745492E-3</v>
      </c>
      <c r="H73" s="391">
        <f t="shared" si="18"/>
        <v>-2.1067827771369318E-3</v>
      </c>
      <c r="I73" s="391">
        <f t="shared" si="18"/>
        <v>-6.3219381241896053E-4</v>
      </c>
      <c r="J73" s="391">
        <f t="shared" si="18"/>
        <v>-1.0988632268570217E-4</v>
      </c>
      <c r="K73" s="391">
        <f t="shared" si="18"/>
        <v>-1.6992044801256742E-3</v>
      </c>
      <c r="L73" s="391">
        <f t="shared" si="18"/>
        <v>-7.1188794208431228E-4</v>
      </c>
      <c r="M73" s="391">
        <f t="shared" si="18"/>
        <v>8.6831244628120534E-4</v>
      </c>
      <c r="N73" s="391">
        <f t="shared" si="18"/>
        <v>-7.1204164665718437E-3</v>
      </c>
      <c r="O73" s="392">
        <f t="shared" si="18"/>
        <v>-2.8153277362182815E-3</v>
      </c>
    </row>
    <row r="74" spans="2:16" ht="24.95" customHeight="1">
      <c r="B74" s="397" t="s">
        <v>328</v>
      </c>
      <c r="C74" s="359"/>
      <c r="D74" s="359"/>
      <c r="E74" s="359"/>
      <c r="F74" s="359"/>
      <c r="G74" s="359"/>
      <c r="H74" s="359"/>
      <c r="I74" s="359"/>
      <c r="J74" s="359"/>
      <c r="K74" s="359"/>
      <c r="L74" s="359"/>
      <c r="M74" s="359"/>
      <c r="N74" s="359"/>
      <c r="O74" s="398"/>
    </row>
    <row r="75" spans="2:16" ht="21" customHeight="1">
      <c r="B75" s="399" t="s">
        <v>329</v>
      </c>
      <c r="C75" s="391">
        <f t="shared" ref="C75:O88" si="19">C28/$O$89</f>
        <v>-2.0419847522647559E-3</v>
      </c>
      <c r="D75" s="391">
        <f t="shared" si="19"/>
        <v>-2.3057347896131373E-3</v>
      </c>
      <c r="E75" s="391">
        <f t="shared" si="19"/>
        <v>-2.225129060783006E-3</v>
      </c>
      <c r="F75" s="391">
        <f t="shared" si="19"/>
        <v>8.6219630131743902E-3</v>
      </c>
      <c r="G75" s="391">
        <f t="shared" si="19"/>
        <v>-3.3855581656902227E-3</v>
      </c>
      <c r="H75" s="391">
        <f t="shared" si="19"/>
        <v>-5.630486716659654E-3</v>
      </c>
      <c r="I75" s="391">
        <f t="shared" si="19"/>
        <v>-4.7472797305062034E-3</v>
      </c>
      <c r="J75" s="391">
        <f t="shared" si="19"/>
        <v>-9.2013036212212657E-4</v>
      </c>
      <c r="K75" s="391">
        <f t="shared" si="19"/>
        <v>-2.9575025950351057E-3</v>
      </c>
      <c r="L75" s="391">
        <f t="shared" si="19"/>
        <v>-2.6528529300070703E-3</v>
      </c>
      <c r="M75" s="391">
        <f t="shared" si="19"/>
        <v>-1.3444639881352494E-3</v>
      </c>
      <c r="N75" s="391">
        <f t="shared" si="19"/>
        <v>-1.0759081035260347E-2</v>
      </c>
      <c r="O75" s="392">
        <f t="shared" si="19"/>
        <v>-3.0348241112902487E-2</v>
      </c>
    </row>
    <row r="76" spans="2:16" ht="21" customHeight="1">
      <c r="B76" s="399" t="s">
        <v>330</v>
      </c>
      <c r="C76" s="391">
        <f t="shared" si="19"/>
        <v>-2.3017337971435281E-3</v>
      </c>
      <c r="D76" s="391">
        <f t="shared" si="19"/>
        <v>-2.9888493233925554E-3</v>
      </c>
      <c r="E76" s="391">
        <f t="shared" si="19"/>
        <v>-3.6089958538957257E-3</v>
      </c>
      <c r="F76" s="391">
        <f t="shared" si="19"/>
        <v>8.2614800459889295E-3</v>
      </c>
      <c r="G76" s="391">
        <f t="shared" si="19"/>
        <v>-3.9781017310352587E-3</v>
      </c>
      <c r="H76" s="391">
        <f t="shared" si="19"/>
        <v>-6.1644359835688767E-3</v>
      </c>
      <c r="I76" s="391">
        <f t="shared" si="19"/>
        <v>-5.3247904504139226E-3</v>
      </c>
      <c r="J76" s="391">
        <f t="shared" si="19"/>
        <v>-1.3755259378835131E-3</v>
      </c>
      <c r="K76" s="391">
        <f t="shared" si="19"/>
        <v>-3.8055072844526659E-3</v>
      </c>
      <c r="L76" s="391">
        <f t="shared" si="19"/>
        <v>-3.0322617788095369E-3</v>
      </c>
      <c r="M76" s="391">
        <f t="shared" si="19"/>
        <v>-2.0959811049701014E-3</v>
      </c>
      <c r="N76" s="391">
        <f t="shared" si="19"/>
        <v>-1.2846644732956346E-2</v>
      </c>
      <c r="O76" s="392">
        <f t="shared" si="19"/>
        <v>-3.9261347932533101E-2</v>
      </c>
    </row>
    <row r="77" spans="2:16" ht="21" customHeight="1">
      <c r="B77" s="399" t="s">
        <v>355</v>
      </c>
      <c r="C77" s="391">
        <f t="shared" si="19"/>
        <v>-3.5364185420903842E-3</v>
      </c>
      <c r="D77" s="391">
        <f t="shared" si="19"/>
        <v>-3.8054068393618351E-3</v>
      </c>
      <c r="E77" s="391">
        <f t="shared" si="19"/>
        <v>-3.7304889062289969E-3</v>
      </c>
      <c r="F77" s="391">
        <f t="shared" si="19"/>
        <v>7.1340973172043295E-3</v>
      </c>
      <c r="G77" s="391">
        <f t="shared" si="19"/>
        <v>-4.9025817369112599E-3</v>
      </c>
      <c r="H77" s="391">
        <f t="shared" si="19"/>
        <v>-7.1355455856269958E-3</v>
      </c>
      <c r="I77" s="391">
        <f t="shared" si="19"/>
        <v>-6.2758070116305797E-3</v>
      </c>
      <c r="J77" s="391">
        <f t="shared" si="19"/>
        <v>-2.4386763618879539E-3</v>
      </c>
      <c r="K77" s="391">
        <f t="shared" si="19"/>
        <v>-4.456521245376174E-3</v>
      </c>
      <c r="L77" s="391">
        <f t="shared" si="19"/>
        <v>-4.2524496818360036E-3</v>
      </c>
      <c r="M77" s="391">
        <f t="shared" si="19"/>
        <v>-2.9820043693814823E-3</v>
      </c>
      <c r="N77" s="391">
        <f t="shared" si="19"/>
        <v>-1.3325787475878042E-2</v>
      </c>
      <c r="O77" s="392">
        <f t="shared" si="19"/>
        <v>-4.9707590439005377E-2</v>
      </c>
    </row>
    <row r="78" spans="2:16" ht="24.95" customHeight="1">
      <c r="B78" s="390" t="s">
        <v>332</v>
      </c>
      <c r="C78" s="391">
        <f t="shared" si="19"/>
        <v>-6.7433076466073907E-6</v>
      </c>
      <c r="D78" s="391">
        <f t="shared" si="19"/>
        <v>-6.8520917480127859E-4</v>
      </c>
      <c r="E78" s="391">
        <f t="shared" si="19"/>
        <v>-8.7310927193960089E-4</v>
      </c>
      <c r="F78" s="391">
        <f t="shared" si="19"/>
        <v>-4.2003819075538064E-4</v>
      </c>
      <c r="G78" s="391">
        <f t="shared" si="19"/>
        <v>-2.0252418700861673E-3</v>
      </c>
      <c r="H78" s="391">
        <f t="shared" si="19"/>
        <v>-9.8394290521641465E-4</v>
      </c>
      <c r="I78" s="391">
        <f t="shared" si="19"/>
        <v>-9.1799573989913242E-4</v>
      </c>
      <c r="J78" s="391">
        <f t="shared" si="19"/>
        <v>5.6796343571524598E-3</v>
      </c>
      <c r="K78" s="391">
        <f t="shared" si="19"/>
        <v>-1.095839343947719E-3</v>
      </c>
      <c r="L78" s="391">
        <f t="shared" si="19"/>
        <v>1.2439364437833642E-2</v>
      </c>
      <c r="M78" s="391">
        <f t="shared" si="19"/>
        <v>3.798663494312638E-3</v>
      </c>
      <c r="N78" s="391">
        <f t="shared" si="19"/>
        <v>-5.2532576572318153E-5</v>
      </c>
      <c r="O78" s="392">
        <f t="shared" si="19"/>
        <v>1.4857009908434119E-2</v>
      </c>
    </row>
    <row r="79" spans="2:16" ht="15.75">
      <c r="B79" s="376" t="s">
        <v>276</v>
      </c>
      <c r="C79" s="393">
        <f t="shared" si="19"/>
        <v>8.4972181145625094E-4</v>
      </c>
      <c r="D79" s="393">
        <f t="shared" si="19"/>
        <v>4.661772167268722E-4</v>
      </c>
      <c r="E79" s="393">
        <f t="shared" si="19"/>
        <v>4.7121572513324006E-4</v>
      </c>
      <c r="F79" s="393">
        <f t="shared" si="19"/>
        <v>5.2580453514542564E-4</v>
      </c>
      <c r="G79" s="393">
        <f t="shared" si="19"/>
        <v>1.6261995932332751E-5</v>
      </c>
      <c r="H79" s="393">
        <f t="shared" si="19"/>
        <v>7.2094848633341875E-4</v>
      </c>
      <c r="I79" s="393">
        <f t="shared" si="19"/>
        <v>3.6318457582209808E-4</v>
      </c>
      <c r="J79" s="393">
        <f t="shared" si="19"/>
        <v>6.2662890992588871E-3</v>
      </c>
      <c r="K79" s="393">
        <f t="shared" si="19"/>
        <v>3.5234324520054295E-4</v>
      </c>
      <c r="L79" s="393">
        <f t="shared" si="19"/>
        <v>1.3643814587227179E-2</v>
      </c>
      <c r="M79" s="393">
        <f t="shared" si="19"/>
        <v>5.6374919232086871E-3</v>
      </c>
      <c r="N79" s="393">
        <f t="shared" si="19"/>
        <v>2.3525687448774715E-3</v>
      </c>
      <c r="O79" s="394">
        <f t="shared" si="19"/>
        <v>3.1665821946322406E-2</v>
      </c>
      <c r="P79" s="55"/>
    </row>
    <row r="80" spans="2:16" ht="15.75">
      <c r="B80" s="376" t="s">
        <v>277</v>
      </c>
      <c r="C80" s="393">
        <f t="shared" si="19"/>
        <v>-8.5646511910285837E-4</v>
      </c>
      <c r="D80" s="393">
        <f t="shared" si="19"/>
        <v>-1.1513863915281507E-3</v>
      </c>
      <c r="E80" s="393">
        <f t="shared" si="19"/>
        <v>-1.344324997072841E-3</v>
      </c>
      <c r="F80" s="393">
        <f t="shared" si="19"/>
        <v>-9.4584272590080628E-4</v>
      </c>
      <c r="G80" s="393">
        <f t="shared" si="19"/>
        <v>-2.0415038660185E-3</v>
      </c>
      <c r="H80" s="393">
        <f t="shared" si="19"/>
        <v>-1.7048913915498334E-3</v>
      </c>
      <c r="I80" s="393">
        <f t="shared" si="19"/>
        <v>-1.2811803157212304E-3</v>
      </c>
      <c r="J80" s="393">
        <f t="shared" si="19"/>
        <v>-5.8665474210642724E-4</v>
      </c>
      <c r="K80" s="393">
        <f t="shared" si="19"/>
        <v>-1.448182589148262E-3</v>
      </c>
      <c r="L80" s="393">
        <f t="shared" si="19"/>
        <v>-1.2044501493935361E-3</v>
      </c>
      <c r="M80" s="393">
        <f t="shared" si="19"/>
        <v>-1.8388284288960494E-3</v>
      </c>
      <c r="N80" s="393">
        <f t="shared" si="19"/>
        <v>-2.4051013214497897E-3</v>
      </c>
      <c r="O80" s="394">
        <f t="shared" si="19"/>
        <v>-1.6808812037888286E-2</v>
      </c>
      <c r="P80" s="55"/>
    </row>
    <row r="81" spans="2:15" ht="24.95" customHeight="1">
      <c r="B81" s="390" t="s">
        <v>333</v>
      </c>
      <c r="C81" s="391">
        <f t="shared" si="19"/>
        <v>2.048728059911362E-3</v>
      </c>
      <c r="D81" s="391">
        <f t="shared" si="19"/>
        <v>2.9909439644144153E-3</v>
      </c>
      <c r="E81" s="391">
        <f t="shared" si="19"/>
        <v>3.0982383327226061E-3</v>
      </c>
      <c r="F81" s="391">
        <f t="shared" si="19"/>
        <v>-8.201924822419009E-3</v>
      </c>
      <c r="G81" s="391">
        <f t="shared" si="19"/>
        <v>5.41080003577639E-3</v>
      </c>
      <c r="H81" s="391">
        <f t="shared" si="19"/>
        <v>6.6144296218760687E-3</v>
      </c>
      <c r="I81" s="391">
        <f t="shared" si="19"/>
        <v>5.6652754704053353E-3</v>
      </c>
      <c r="J81" s="391">
        <f t="shared" si="19"/>
        <v>-4.7595039950303324E-3</v>
      </c>
      <c r="K81" s="391">
        <f t="shared" si="19"/>
        <v>4.0533419389828258E-3</v>
      </c>
      <c r="L81" s="391">
        <f t="shared" si="19"/>
        <v>-9.7865115078265719E-3</v>
      </c>
      <c r="M81" s="391">
        <f t="shared" si="19"/>
        <v>-2.4541995061773889E-3</v>
      </c>
      <c r="N81" s="391">
        <f t="shared" si="19"/>
        <v>1.0811613611832666E-2</v>
      </c>
      <c r="O81" s="392">
        <f t="shared" si="19"/>
        <v>1.5491231204468369E-2</v>
      </c>
    </row>
    <row r="82" spans="2:15" ht="15.75">
      <c r="B82" s="376" t="s">
        <v>279</v>
      </c>
      <c r="C82" s="393">
        <f t="shared" si="19"/>
        <v>2.7018222108508715E-3</v>
      </c>
      <c r="D82" s="393">
        <f t="shared" si="19"/>
        <v>6.7783793511680453E-3</v>
      </c>
      <c r="E82" s="393">
        <f t="shared" si="19"/>
        <v>1.0594852969874112E-2</v>
      </c>
      <c r="F82" s="393">
        <f t="shared" si="19"/>
        <v>-2.5742739560882745E-4</v>
      </c>
      <c r="G82" s="393">
        <f t="shared" si="19"/>
        <v>2.299283604872528E-3</v>
      </c>
      <c r="H82" s="393">
        <f t="shared" si="19"/>
        <v>-2.9246115551238299E-3</v>
      </c>
      <c r="I82" s="393">
        <f t="shared" si="19"/>
        <v>5.222702613627987E-3</v>
      </c>
      <c r="J82" s="393">
        <f t="shared" si="19"/>
        <v>-6.6725679643016671E-3</v>
      </c>
      <c r="K82" s="393">
        <f t="shared" si="19"/>
        <v>3.892037693138306E-3</v>
      </c>
      <c r="L82" s="393">
        <f t="shared" si="19"/>
        <v>-8.411788429264655E-3</v>
      </c>
      <c r="M82" s="393">
        <f t="shared" si="19"/>
        <v>-1.8038890021205643E-3</v>
      </c>
      <c r="N82" s="393">
        <f t="shared" si="19"/>
        <v>3.4307932818442408E-3</v>
      </c>
      <c r="O82" s="394">
        <f t="shared" si="19"/>
        <v>1.4849587378956549E-2</v>
      </c>
    </row>
    <row r="83" spans="2:15" ht="15.75">
      <c r="B83" s="376" t="s">
        <v>282</v>
      </c>
      <c r="C83" s="393">
        <f t="shared" si="19"/>
        <v>1.0452994001491766E-3</v>
      </c>
      <c r="D83" s="393">
        <f t="shared" si="19"/>
        <v>-4.077022337477614E-3</v>
      </c>
      <c r="E83" s="393">
        <f t="shared" si="19"/>
        <v>3.2316269801690384E-3</v>
      </c>
      <c r="F83" s="393">
        <f t="shared" si="19"/>
        <v>-8.7664793814153583E-3</v>
      </c>
      <c r="G83" s="393">
        <f t="shared" si="19"/>
        <v>4.5218121365443904E-3</v>
      </c>
      <c r="H83" s="393">
        <f t="shared" si="19"/>
        <v>-8.2257443711811434E-4</v>
      </c>
      <c r="I83" s="393">
        <f t="shared" si="19"/>
        <v>1.1943350404815286E-3</v>
      </c>
      <c r="J83" s="393">
        <f t="shared" si="19"/>
        <v>1.0477296085412344E-5</v>
      </c>
      <c r="K83" s="393">
        <f t="shared" si="19"/>
        <v>-3.2109090293106212E-4</v>
      </c>
      <c r="L83" s="393">
        <f t="shared" si="19"/>
        <v>1.7265361081357698E-4</v>
      </c>
      <c r="M83" s="393">
        <f t="shared" si="19"/>
        <v>-1.8001414435882201E-3</v>
      </c>
      <c r="N83" s="393">
        <f t="shared" si="19"/>
        <v>1.9858706542526202E-3</v>
      </c>
      <c r="O83" s="394">
        <f t="shared" si="19"/>
        <v>-3.6252333840346251E-3</v>
      </c>
    </row>
    <row r="84" spans="2:15" ht="15.75">
      <c r="B84" s="376" t="s">
        <v>283</v>
      </c>
      <c r="C84" s="393">
        <f t="shared" si="19"/>
        <v>0</v>
      </c>
      <c r="D84" s="393">
        <f t="shared" si="19"/>
        <v>0</v>
      </c>
      <c r="E84" s="393">
        <f t="shared" si="19"/>
        <v>0</v>
      </c>
      <c r="F84" s="393">
        <f t="shared" si="19"/>
        <v>0</v>
      </c>
      <c r="G84" s="393">
        <f t="shared" si="19"/>
        <v>0</v>
      </c>
      <c r="H84" s="393">
        <f t="shared" si="19"/>
        <v>0</v>
      </c>
      <c r="I84" s="393">
        <f t="shared" si="19"/>
        <v>0</v>
      </c>
      <c r="J84" s="393">
        <f t="shared" si="19"/>
        <v>0</v>
      </c>
      <c r="K84" s="393">
        <f t="shared" si="19"/>
        <v>0</v>
      </c>
      <c r="L84" s="393">
        <f t="shared" si="19"/>
        <v>0</v>
      </c>
      <c r="M84" s="393">
        <f t="shared" si="19"/>
        <v>0</v>
      </c>
      <c r="N84" s="393">
        <f t="shared" si="19"/>
        <v>0</v>
      </c>
      <c r="O84" s="394">
        <f t="shared" si="19"/>
        <v>0</v>
      </c>
    </row>
    <row r="85" spans="2:15" ht="15.75">
      <c r="B85" s="376" t="s">
        <v>284</v>
      </c>
      <c r="C85" s="393">
        <f t="shared" si="19"/>
        <v>1.3048676994479595E-3</v>
      </c>
      <c r="D85" s="393">
        <f t="shared" si="19"/>
        <v>-1.7443259017818813E-3</v>
      </c>
      <c r="E85" s="393">
        <f t="shared" si="19"/>
        <v>-5.9254062327893887E-3</v>
      </c>
      <c r="F85" s="393">
        <f t="shared" si="19"/>
        <v>2.3839654920446321E-3</v>
      </c>
      <c r="G85" s="393">
        <f t="shared" si="19"/>
        <v>5.6702029280264842E-6</v>
      </c>
      <c r="H85" s="393">
        <f t="shared" si="19"/>
        <v>1.1589077651572646E-2</v>
      </c>
      <c r="I85" s="393">
        <f t="shared" si="19"/>
        <v>1.7927365502452312E-3</v>
      </c>
      <c r="J85" s="393">
        <f t="shared" si="19"/>
        <v>2.6265476628259446E-3</v>
      </c>
      <c r="K85" s="393">
        <f t="shared" si="19"/>
        <v>1.5122833370916613E-3</v>
      </c>
      <c r="L85" s="393">
        <f t="shared" si="19"/>
        <v>1.4277862100442759E-3</v>
      </c>
      <c r="M85" s="393">
        <f t="shared" si="19"/>
        <v>1.4675559564438704E-3</v>
      </c>
      <c r="N85" s="393">
        <f t="shared" si="19"/>
        <v>8.5454769020030449E-3</v>
      </c>
      <c r="O85" s="394">
        <f t="shared" si="19"/>
        <v>2.4986235530076024E-2</v>
      </c>
    </row>
    <row r="86" spans="2:15" ht="15.75">
      <c r="B86" s="376" t="s">
        <v>334</v>
      </c>
      <c r="C86" s="393">
        <f t="shared" si="19"/>
        <v>0</v>
      </c>
      <c r="D86" s="393">
        <f t="shared" si="19"/>
        <v>0</v>
      </c>
      <c r="E86" s="393">
        <f t="shared" si="19"/>
        <v>0</v>
      </c>
      <c r="F86" s="393">
        <f t="shared" si="19"/>
        <v>0</v>
      </c>
      <c r="G86" s="393">
        <f t="shared" si="19"/>
        <v>0</v>
      </c>
      <c r="H86" s="393">
        <f t="shared" si="19"/>
        <v>0</v>
      </c>
      <c r="I86" s="393">
        <f t="shared" si="19"/>
        <v>0</v>
      </c>
      <c r="J86" s="393">
        <f t="shared" si="19"/>
        <v>0</v>
      </c>
      <c r="K86" s="393">
        <f t="shared" si="19"/>
        <v>0</v>
      </c>
      <c r="L86" s="393">
        <f t="shared" si="19"/>
        <v>0</v>
      </c>
      <c r="M86" s="393">
        <f t="shared" si="19"/>
        <v>0</v>
      </c>
      <c r="N86" s="393">
        <f t="shared" si="19"/>
        <v>0</v>
      </c>
      <c r="O86" s="394">
        <f t="shared" si="19"/>
        <v>0</v>
      </c>
    </row>
    <row r="87" spans="2:15" ht="15.75">
      <c r="B87" s="376" t="s">
        <v>335</v>
      </c>
      <c r="C87" s="393">
        <f t="shared" si="19"/>
        <v>-1.4944337898256282E-3</v>
      </c>
      <c r="D87" s="393">
        <f t="shared" si="19"/>
        <v>-1.4996720497486981E-3</v>
      </c>
      <c r="E87" s="393">
        <f t="shared" si="19"/>
        <v>-1.5053598454459909E-3</v>
      </c>
      <c r="F87" s="393">
        <f t="shared" si="19"/>
        <v>-1.4878656959700608E-3</v>
      </c>
      <c r="G87" s="393">
        <f t="shared" si="19"/>
        <v>-1.5170235712210374E-3</v>
      </c>
      <c r="H87" s="393">
        <f t="shared" si="19"/>
        <v>-1.5050588689673417E-3</v>
      </c>
      <c r="I87" s="393">
        <f t="shared" si="19"/>
        <v>-1.5285272811243762E-3</v>
      </c>
      <c r="J87" s="393">
        <f t="shared" si="19"/>
        <v>-1.5185459997658275E-3</v>
      </c>
      <c r="K87" s="393">
        <f t="shared" si="19"/>
        <v>-1.4990186503410683E-3</v>
      </c>
      <c r="L87" s="393">
        <f t="shared" si="19"/>
        <v>-1.5995967518289327E-3</v>
      </c>
      <c r="M87" s="393">
        <f t="shared" si="19"/>
        <v>-1.637540381246233E-3</v>
      </c>
      <c r="N87" s="393">
        <f t="shared" si="19"/>
        <v>-2.5667064406176957E-3</v>
      </c>
      <c r="O87" s="394">
        <f t="shared" si="19"/>
        <v>-1.9359349326102893E-2</v>
      </c>
    </row>
    <row r="88" spans="2:15" ht="15.75">
      <c r="B88" s="400" t="s">
        <v>336</v>
      </c>
      <c r="C88" s="401">
        <f t="shared" si="19"/>
        <v>-1.5088274607110163E-3</v>
      </c>
      <c r="D88" s="401">
        <f t="shared" si="19"/>
        <v>3.5335849022545634E-3</v>
      </c>
      <c r="E88" s="401">
        <f t="shared" si="19"/>
        <v>-3.2974755390851643E-3</v>
      </c>
      <c r="F88" s="401">
        <f t="shared" si="19"/>
        <v>-7.4117841469394457E-5</v>
      </c>
      <c r="G88" s="401">
        <f t="shared" si="19"/>
        <v>1.010576626524821E-4</v>
      </c>
      <c r="H88" s="401">
        <f t="shared" si="19"/>
        <v>2.7759683151270913E-4</v>
      </c>
      <c r="I88" s="401">
        <f t="shared" si="19"/>
        <v>-1.0159714528250351E-3</v>
      </c>
      <c r="J88" s="401">
        <f t="shared" si="19"/>
        <v>7.9458501012580405E-4</v>
      </c>
      <c r="K88" s="401">
        <f t="shared" si="19"/>
        <v>4.6913046202498744E-4</v>
      </c>
      <c r="L88" s="401">
        <f t="shared" si="19"/>
        <v>-1.3755661475908362E-3</v>
      </c>
      <c r="M88" s="401">
        <f t="shared" si="19"/>
        <v>1.3198153643337583E-3</v>
      </c>
      <c r="N88" s="401">
        <f t="shared" si="19"/>
        <v>-5.8382078564954681E-4</v>
      </c>
      <c r="O88" s="402">
        <f t="shared" si="19"/>
        <v>-1.3600089944266884E-3</v>
      </c>
    </row>
    <row r="89" spans="2:15" ht="24.95" customHeight="1" thickBot="1">
      <c r="B89" s="403" t="s">
        <v>359</v>
      </c>
      <c r="C89" s="404"/>
      <c r="D89" s="405"/>
      <c r="E89" s="405"/>
      <c r="F89" s="405"/>
      <c r="G89" s="405"/>
      <c r="H89" s="405"/>
      <c r="I89" s="405"/>
      <c r="J89" s="405"/>
      <c r="K89" s="405"/>
      <c r="L89" s="405"/>
      <c r="M89" s="405"/>
      <c r="N89" s="405"/>
      <c r="O89" s="406">
        <v>18447.919999999998</v>
      </c>
    </row>
    <row r="90" spans="2:15">
      <c r="B90" s="48" t="s">
        <v>338</v>
      </c>
    </row>
    <row r="91" spans="2:15">
      <c r="B91" s="48" t="s">
        <v>356</v>
      </c>
    </row>
    <row r="93" spans="2:15" ht="16.5" thickBot="1">
      <c r="B93" s="353" t="s">
        <v>340</v>
      </c>
      <c r="C93" s="2"/>
      <c r="D93" s="2"/>
      <c r="E93" s="2"/>
      <c r="F93" s="2"/>
      <c r="G93" s="2"/>
      <c r="H93" s="2"/>
      <c r="I93" s="2"/>
      <c r="J93" s="2"/>
      <c r="K93" s="2"/>
      <c r="L93" s="2"/>
      <c r="M93" s="2"/>
      <c r="N93" s="2"/>
      <c r="O93" s="2"/>
    </row>
    <row r="94" spans="2:15" ht="24.95" customHeight="1" thickBot="1">
      <c r="B94" s="407" t="s">
        <v>357</v>
      </c>
      <c r="C94" s="408">
        <f t="shared" ref="C94:O94" si="20">C47/$O$89</f>
        <v>1.4944337898256282E-3</v>
      </c>
      <c r="D94" s="409">
        <f t="shared" si="20"/>
        <v>1.4996720497486981E-3</v>
      </c>
      <c r="E94" s="409">
        <f t="shared" si="20"/>
        <v>1.5053598454459909E-3</v>
      </c>
      <c r="F94" s="409">
        <f t="shared" si="20"/>
        <v>1.4878656959700608E-3</v>
      </c>
      <c r="G94" s="409">
        <f t="shared" si="20"/>
        <v>1.5170235712210374E-3</v>
      </c>
      <c r="H94" s="409">
        <f t="shared" si="20"/>
        <v>1.5050588689673417E-3</v>
      </c>
      <c r="I94" s="409">
        <f t="shared" si="20"/>
        <v>1.5285272811243762E-3</v>
      </c>
      <c r="J94" s="409">
        <f t="shared" si="20"/>
        <v>1.5185459997658275E-3</v>
      </c>
      <c r="K94" s="409">
        <f t="shared" si="20"/>
        <v>1.4990186503410683E-3</v>
      </c>
      <c r="L94" s="409">
        <f t="shared" si="20"/>
        <v>1.5995967518289327E-3</v>
      </c>
      <c r="M94" s="409">
        <f t="shared" si="20"/>
        <v>1.637540381246233E-3</v>
      </c>
      <c r="N94" s="410">
        <f t="shared" si="20"/>
        <v>2.5667064406176957E-3</v>
      </c>
      <c r="O94" s="411">
        <f t="shared" si="20"/>
        <v>1.9359349326102893E-2</v>
      </c>
    </row>
  </sheetData>
  <printOptions horizontalCentered="1"/>
  <pageMargins left="0.7" right="0.7" top="0.75" bottom="0.75" header="0.3" footer="0.3"/>
  <pageSetup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69</vt:i4>
      </vt:variant>
      <vt:variant>
        <vt:lpstr>Gráficos</vt:lpstr>
      </vt:variant>
      <vt:variant>
        <vt:i4>9</vt:i4>
      </vt:variant>
    </vt:vector>
  </HeadingPairs>
  <TitlesOfParts>
    <vt:vector size="78" baseType="lpstr">
      <vt:lpstr>Indice</vt:lpstr>
      <vt:lpstr>7</vt:lpstr>
      <vt:lpstr>8</vt:lpstr>
      <vt:lpstr>I Situación Financiera</vt:lpstr>
      <vt:lpstr>10, 11</vt:lpstr>
      <vt:lpstr>12 dat</vt:lpstr>
      <vt:lpstr>13 dat</vt:lpstr>
      <vt:lpstr>SPNF09</vt:lpstr>
      <vt:lpstr>SPNF10</vt:lpstr>
      <vt:lpstr>SPNF11</vt:lpstr>
      <vt:lpstr>SPNF12</vt:lpstr>
      <vt:lpstr>SPNF13</vt:lpstr>
      <vt:lpstr>14</vt:lpstr>
      <vt:lpstr>15</vt:lpstr>
      <vt:lpstr>16</vt:lpstr>
      <vt:lpstr>17</vt:lpstr>
      <vt:lpstr>18</vt:lpstr>
      <vt:lpstr>19, 20</vt:lpstr>
      <vt:lpstr>21</vt:lpstr>
      <vt:lpstr>GC09</vt:lpstr>
      <vt:lpstr>GC10</vt:lpstr>
      <vt:lpstr>GC11</vt:lpstr>
      <vt:lpstr>GC12</vt:lpstr>
      <vt:lpstr>GC13</vt:lpstr>
      <vt:lpstr>22</vt:lpstr>
      <vt:lpstr>23</vt:lpstr>
      <vt:lpstr>24</vt:lpstr>
      <vt:lpstr>25</vt:lpstr>
      <vt:lpstr>26</vt:lpstr>
      <vt:lpstr>27</vt:lpstr>
      <vt:lpstr>II Ings Fiscales</vt:lpstr>
      <vt:lpstr>29, 30</vt:lpstr>
      <vt:lpstr>31 dat</vt:lpstr>
      <vt:lpstr>32 dat</vt:lpstr>
      <vt:lpstr>33 dat</vt:lpstr>
      <vt:lpstr>34 dat</vt:lpstr>
      <vt:lpstr>IGC09</vt:lpstr>
      <vt:lpstr>IGC10</vt:lpstr>
      <vt:lpstr>IGC11</vt:lpstr>
      <vt:lpstr>IGC12</vt:lpstr>
      <vt:lpstr>IGC13</vt:lpstr>
      <vt:lpstr>35</vt:lpstr>
      <vt:lpstr>36</vt:lpstr>
      <vt:lpstr>37</vt:lpstr>
      <vt:lpstr>38</vt:lpstr>
      <vt:lpstr>39</vt:lpstr>
      <vt:lpstr>40</vt:lpstr>
      <vt:lpstr>41, 42, 43</vt:lpstr>
      <vt:lpstr>III Ejec Pto</vt:lpstr>
      <vt:lpstr>45</vt:lpstr>
      <vt:lpstr>46 dat</vt:lpstr>
      <vt:lpstr>47</vt:lpstr>
      <vt:lpstr>48</vt:lpstr>
      <vt:lpstr>49</vt:lpstr>
      <vt:lpstr>50</vt:lpstr>
      <vt:lpstr>51</vt:lpstr>
      <vt:lpstr>52</vt:lpstr>
      <vt:lpstr>IV Inversion</vt:lpstr>
      <vt:lpstr>54 dat</vt:lpstr>
      <vt:lpstr>55</vt:lpstr>
      <vt:lpstr>56</vt:lpstr>
      <vt:lpstr>V Deuda</vt:lpstr>
      <vt:lpstr>58</vt:lpstr>
      <vt:lpstr>59</vt:lpstr>
      <vt:lpstr>60 dat</vt:lpstr>
      <vt:lpstr>61 Gráfico</vt:lpstr>
      <vt:lpstr>61 dat</vt:lpstr>
      <vt:lpstr>62</vt:lpstr>
      <vt:lpstr>63</vt:lpstr>
      <vt:lpstr>12 Gráfico</vt:lpstr>
      <vt:lpstr>13 Gráfico</vt:lpstr>
      <vt:lpstr>31 Gráfico</vt:lpstr>
      <vt:lpstr>32 Gráfico</vt:lpstr>
      <vt:lpstr>33 Gráfico</vt:lpstr>
      <vt:lpstr>34 Gráfico</vt:lpstr>
      <vt:lpstr>46 Gráfico</vt:lpstr>
      <vt:lpstr>54 Gráfico</vt:lpstr>
      <vt:lpstr>60 Gráfico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Bernardo Melendez</dc:creator>
  <cp:lastModifiedBy>Leonardo Navarro</cp:lastModifiedBy>
  <cp:lastPrinted>2019-10-04T21:08:57Z</cp:lastPrinted>
  <dcterms:created xsi:type="dcterms:W3CDTF">2017-01-23T13:12:33Z</dcterms:created>
  <dcterms:modified xsi:type="dcterms:W3CDTF">2019-10-04T21:09:08Z</dcterms:modified>
</cp:coreProperties>
</file>